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06"/>
  <workbookPr codeName="ThisWorkbook"/>
  <mc:AlternateContent xmlns:mc="http://schemas.openxmlformats.org/markup-compatibility/2006">
    <mc:Choice Requires="x15">
      <x15ac:absPath xmlns:x15ac="http://schemas.microsoft.com/office/spreadsheetml/2010/11/ac" url="C:\Users\CJ\Desktop\Temporary holding file\"/>
    </mc:Choice>
  </mc:AlternateContent>
  <xr:revisionPtr revIDLastSave="1" documentId="8_{6F3D4D35-8AA1-438B-89E9-2A44768535A9}" xr6:coauthVersionLast="47" xr6:coauthVersionMax="47" xr10:uidLastSave="{E4CD1BC0-848D-4095-BD7A-BB88B7450B19}"/>
  <bookViews>
    <workbookView xWindow="-120" yWindow="-120" windowWidth="29040" windowHeight="15840" tabRatio="726" firstSheet="68" activeTab="68" xr2:uid="{3374CF1E-0988-48F3-A92D-EC7C9EE434ED}"/>
  </bookViews>
  <sheets>
    <sheet name="1" sheetId="2" r:id="rId1"/>
    <sheet name="2" sheetId="79" r:id="rId2"/>
    <sheet name="3" sheetId="80" r:id="rId3"/>
    <sheet name="4" sheetId="81" r:id="rId4"/>
    <sheet name="5" sheetId="82" r:id="rId5"/>
    <sheet name="6" sheetId="83" r:id="rId6"/>
    <sheet name="7" sheetId="84" r:id="rId7"/>
    <sheet name="8" sheetId="85" r:id="rId8"/>
    <sheet name="9" sheetId="87" r:id="rId9"/>
    <sheet name="10" sheetId="88" r:id="rId10"/>
    <sheet name="11" sheetId="90" r:id="rId11"/>
    <sheet name="12" sheetId="91" r:id="rId12"/>
    <sheet name="13" sheetId="92" r:id="rId13"/>
    <sheet name="14" sheetId="93" r:id="rId14"/>
    <sheet name="15" sheetId="94" r:id="rId15"/>
    <sheet name="16" sheetId="95" r:id="rId16"/>
    <sheet name="17" sheetId="96" r:id="rId17"/>
    <sheet name="18" sheetId="97" r:id="rId18"/>
    <sheet name="19" sheetId="98" r:id="rId19"/>
    <sheet name="20" sheetId="99" r:id="rId20"/>
    <sheet name="21" sheetId="100" r:id="rId21"/>
    <sheet name="22" sheetId="101" r:id="rId22"/>
    <sheet name="23" sheetId="102" r:id="rId23"/>
    <sheet name="24" sheetId="103" r:id="rId24"/>
    <sheet name="24-1" sheetId="73" state="hidden" r:id="rId25"/>
    <sheet name="25" sheetId="104" r:id="rId26"/>
    <sheet name="26" sheetId="141" r:id="rId27"/>
    <sheet name="27" sheetId="105" r:id="rId28"/>
    <sheet name="28" sheetId="106" r:id="rId29"/>
    <sheet name="29" sheetId="107" r:id="rId30"/>
    <sheet name="30" sheetId="108" r:id="rId31"/>
    <sheet name="31" sheetId="109" r:id="rId32"/>
    <sheet name="32" sheetId="110" r:id="rId33"/>
    <sheet name="33" sheetId="111" r:id="rId34"/>
    <sheet name="34" sheetId="114" r:id="rId35"/>
    <sheet name="35" sheetId="113" r:id="rId36"/>
    <sheet name="36" sheetId="115" r:id="rId37"/>
    <sheet name="37" sheetId="116" r:id="rId38"/>
    <sheet name="38" sheetId="117" r:id="rId39"/>
    <sheet name="39" sheetId="118" r:id="rId40"/>
    <sheet name="40" sheetId="119" r:id="rId41"/>
    <sheet name="41" sheetId="121" r:id="rId42"/>
    <sheet name="42" sheetId="122" r:id="rId43"/>
    <sheet name="43" sheetId="123" r:id="rId44"/>
    <sheet name="44" sheetId="124" r:id="rId45"/>
    <sheet name="45" sheetId="125" r:id="rId46"/>
    <sheet name="46" sheetId="126" r:id="rId47"/>
    <sheet name="47" sheetId="127" r:id="rId48"/>
    <sheet name="48" sheetId="128" r:id="rId49"/>
    <sheet name="49" sheetId="129" r:id="rId50"/>
    <sheet name="50" sheetId="130" r:id="rId51"/>
    <sheet name="51" sheetId="131" r:id="rId52"/>
    <sheet name="52" sheetId="132" r:id="rId53"/>
    <sheet name="53" sheetId="133" r:id="rId54"/>
    <sheet name="54" sheetId="134" r:id="rId55"/>
    <sheet name="55" sheetId="135" r:id="rId56"/>
    <sheet name="56" sheetId="138" r:id="rId57"/>
    <sheet name="57" sheetId="136" r:id="rId58"/>
    <sheet name="58" sheetId="137" r:id="rId59"/>
    <sheet name="59" sheetId="139" r:id="rId60"/>
    <sheet name="60" sheetId="153" r:id="rId61"/>
    <sheet name="61" sheetId="140" r:id="rId62"/>
    <sheet name="Presentation" sheetId="145" r:id="rId63"/>
    <sheet name="To Dos" sheetId="151" state="hidden" r:id="rId64"/>
    <sheet name="Scratch" sheetId="143" r:id="rId65"/>
    <sheet name="Terms" sheetId="144" state="hidden" r:id="rId66"/>
    <sheet name="Capital Budget" sheetId="142" r:id="rId67"/>
    <sheet name="Sheet2" sheetId="155" r:id="rId68"/>
    <sheet name="Operating Budget" sheetId="1" r:id="rId69"/>
    <sheet name="MASTER" sheetId="71" r:id="rId70"/>
    <sheet name="Sheet1" sheetId="154" r:id="rId71"/>
  </sheets>
  <externalReferences>
    <externalReference r:id="rId72"/>
  </externalReferences>
  <definedNames>
    <definedName name="allocation">MASTER!$A$25:$A$42</definedName>
    <definedName name="enterprise" localSheetId="66">'[1]Key Inputs'!$I$532:$I$533</definedName>
    <definedName name="enterprise">MASTER!$A$11:$A$18</definedName>
    <definedName name="_xlnm.Print_Area" localSheetId="0">'1'!$B$2:$H$40</definedName>
    <definedName name="_xlnm.Print_Area" localSheetId="9">'10'!$B$1:$H$47</definedName>
    <definedName name="_xlnm.Print_Area" localSheetId="10">'11'!$B$1:$H$50</definedName>
    <definedName name="_xlnm.Print_Area" localSheetId="11">'12'!$B$2:$H$62</definedName>
    <definedName name="_xlnm.Print_Area" localSheetId="12">'13'!$B$1:$H$51</definedName>
    <definedName name="_xlnm.Print_Area" localSheetId="13">'14'!$B$1:$H$44</definedName>
    <definedName name="_xlnm.Print_Area" localSheetId="14">'15'!$B$1:$H$45</definedName>
    <definedName name="_xlnm.Print_Area" localSheetId="15">'16'!$B$1:$H$46</definedName>
    <definedName name="_xlnm.Print_Area" localSheetId="16">'17'!$B$1:$H$45</definedName>
    <definedName name="_xlnm.Print_Area" localSheetId="17">'18'!$B$1:$H$46</definedName>
    <definedName name="_xlnm.Print_Area" localSheetId="18">'19'!$B$1:$H$49</definedName>
    <definedName name="_xlnm.Print_Area" localSheetId="1">'2'!$B$1:$H$52</definedName>
    <definedName name="_xlnm.Print_Area" localSheetId="19">'20'!$B$1:$H$45</definedName>
    <definedName name="_xlnm.Print_Area" localSheetId="20">'21'!$B$1:$H$48</definedName>
    <definedName name="_xlnm.Print_Area" localSheetId="21">'22'!$B$1:$H$45</definedName>
    <definedName name="_xlnm.Print_Area" localSheetId="22">'23'!$B$1:$H$46</definedName>
    <definedName name="_xlnm.Print_Area" localSheetId="23">'24'!$B$1:$H$46</definedName>
    <definedName name="_xlnm.Print_Area" localSheetId="25">'25'!$B$1:$H$46</definedName>
    <definedName name="_xlnm.Print_Area" localSheetId="26">'26'!$B$1:$H$46</definedName>
    <definedName name="_xlnm.Print_Area" localSheetId="27">'27'!$B$1:$H$46</definedName>
    <definedName name="_xlnm.Print_Area" localSheetId="28">'28'!$B$1:$H$45</definedName>
    <definedName name="_xlnm.Print_Area" localSheetId="29">'29'!$B$1:$H$44</definedName>
    <definedName name="_xlnm.Print_Area" localSheetId="2">'3'!$B$1:$H$48</definedName>
    <definedName name="_xlnm.Print_Area" localSheetId="30">'30'!$B$1:$H$47</definedName>
    <definedName name="_xlnm.Print_Area" localSheetId="31">'31'!$B$1:$H$44</definedName>
    <definedName name="_xlnm.Print_Area" localSheetId="32">'32'!$B$1:$H$44</definedName>
    <definedName name="_xlnm.Print_Area" localSheetId="33">'33'!$B$1:$H$44</definedName>
    <definedName name="_xlnm.Print_Area" localSheetId="34">'34'!$B$1:$H$44</definedName>
    <definedName name="_xlnm.Print_Area" localSheetId="35">'35'!$B$1:$H$44</definedName>
    <definedName name="_xlnm.Print_Area" localSheetId="36">'36'!$B$1:$H$51</definedName>
    <definedName name="_xlnm.Print_Area" localSheetId="37">'37'!$B$1:$H$44</definedName>
    <definedName name="_xlnm.Print_Area" localSheetId="38">'38'!$B$1:$H$44</definedName>
    <definedName name="_xlnm.Print_Area" localSheetId="39">'39'!$B$1:$H$52</definedName>
    <definedName name="_xlnm.Print_Area" localSheetId="3">'4'!$B$1:$H$48</definedName>
    <definedName name="_xlnm.Print_Area" localSheetId="40">'40'!$B$1:$H$44</definedName>
    <definedName name="_xlnm.Print_Area" localSheetId="41">'41'!$B$1:$H$44</definedName>
    <definedName name="_xlnm.Print_Area" localSheetId="42">'42'!$B$1:$H$48</definedName>
    <definedName name="_xlnm.Print_Area" localSheetId="43">'43'!$B$1:$H$44</definedName>
    <definedName name="_xlnm.Print_Area" localSheetId="44">'44'!$B$1:$H$49</definedName>
    <definedName name="_xlnm.Print_Area" localSheetId="45">'45'!$B$1:$H$50</definedName>
    <definedName name="_xlnm.Print_Area" localSheetId="46">'46'!$B$1:$H$47</definedName>
    <definedName name="_xlnm.Print_Area" localSheetId="47">'47'!$B$1:$H$46</definedName>
    <definedName name="_xlnm.Print_Area" localSheetId="48">'48'!$B$1:$H$46</definedName>
    <definedName name="_xlnm.Print_Area" localSheetId="49">'49'!$B$1:$H$51</definedName>
    <definedName name="_xlnm.Print_Area" localSheetId="4">'5'!$B$1:$H$49</definedName>
    <definedName name="_xlnm.Print_Area" localSheetId="50">'50'!$B$1:$H$46</definedName>
    <definedName name="_xlnm.Print_Area" localSheetId="51">'51'!$B$1:$H$45</definedName>
    <definedName name="_xlnm.Print_Area" localSheetId="52">'52'!$B$1:$H$45</definedName>
    <definedName name="_xlnm.Print_Area" localSheetId="53">'53'!$B$1:$H$47</definedName>
    <definedName name="_xlnm.Print_Area" localSheetId="54">'54'!$B$1:$H$53</definedName>
    <definedName name="_xlnm.Print_Area" localSheetId="55">'55'!$B$1:$H$45</definedName>
    <definedName name="_xlnm.Print_Area" localSheetId="56">'56'!$B$1:$H$45</definedName>
    <definedName name="_xlnm.Print_Area" localSheetId="57">'57'!$B$1:$H$45</definedName>
    <definedName name="_xlnm.Print_Area" localSheetId="58">'58'!$B$1:$H$45</definedName>
    <definedName name="_xlnm.Print_Area" localSheetId="59">'59'!$B$1:$H$45</definedName>
    <definedName name="_xlnm.Print_Area" localSheetId="5">'6'!$B$1:$H$46</definedName>
    <definedName name="_xlnm.Print_Area" localSheetId="60">'60'!$B$1:$H$45</definedName>
    <definedName name="_xlnm.Print_Area" localSheetId="61">'61'!$B$1:$H$45</definedName>
    <definedName name="_xlnm.Print_Area" localSheetId="6">'7'!$B$1:$H$45</definedName>
    <definedName name="_xlnm.Print_Area" localSheetId="7">'8'!$B$2:$H$45</definedName>
    <definedName name="_xlnm.Print_Area" localSheetId="8">'9'!$B$1:$H$61</definedName>
    <definedName name="_xlnm.Print_Titles" localSheetId="68">'Operating Budget'!$2:$7</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1" l="1"/>
  <c r="Z16" i="142" l="1"/>
  <c r="N25" i="142"/>
  <c r="Q21" i="142"/>
  <c r="P21" i="142"/>
  <c r="O21" i="142"/>
  <c r="N21" i="142"/>
  <c r="M21" i="142"/>
  <c r="O22" i="142"/>
  <c r="Z28" i="142"/>
  <c r="Z27" i="142"/>
  <c r="Z26" i="142"/>
  <c r="Z25" i="142"/>
  <c r="Z24" i="142"/>
  <c r="Z23" i="142"/>
  <c r="Z22" i="142"/>
  <c r="Z21" i="142"/>
  <c r="Z20" i="142"/>
  <c r="Z19" i="142"/>
  <c r="Z18" i="142"/>
  <c r="Z17" i="142"/>
  <c r="Z15" i="142"/>
  <c r="Z13" i="142"/>
  <c r="Z11" i="142"/>
  <c r="H10" i="142"/>
  <c r="H11" i="142"/>
  <c r="H12" i="142"/>
  <c r="H15" i="142"/>
  <c r="H16" i="142"/>
  <c r="H17" i="142"/>
  <c r="H18" i="142"/>
  <c r="H19" i="142"/>
  <c r="H20" i="142"/>
  <c r="H22" i="142"/>
  <c r="H23" i="142"/>
  <c r="H24" i="142"/>
  <c r="H25" i="142"/>
  <c r="H27" i="142"/>
  <c r="H28" i="142"/>
  <c r="Z12" i="142"/>
  <c r="Z10" i="142"/>
  <c r="Z14" i="142"/>
  <c r="C104" i="143"/>
  <c r="H32" i="106"/>
  <c r="H34" i="85"/>
  <c r="F25" i="85"/>
  <c r="F30" i="129"/>
  <c r="L60" i="142"/>
  <c r="F25" i="103"/>
  <c r="G27" i="125" l="1"/>
  <c r="G26" i="125"/>
  <c r="G25" i="125"/>
  <c r="G24" i="125"/>
  <c r="G23" i="125"/>
  <c r="B2" i="125"/>
  <c r="C8" i="125"/>
  <c r="B16" i="125"/>
  <c r="B22" i="125"/>
  <c r="D24" i="125"/>
  <c r="G28" i="125"/>
  <c r="C30" i="125" s="1"/>
  <c r="H37" i="125" s="1"/>
  <c r="E35" i="125"/>
  <c r="F35" i="125"/>
  <c r="G35" i="125"/>
  <c r="H35" i="125"/>
  <c r="B37" i="125"/>
  <c r="B5" i="142" l="1"/>
  <c r="B22" i="145" l="1"/>
  <c r="B25" i="145"/>
  <c r="B24" i="145"/>
  <c r="B19" i="145"/>
  <c r="B18" i="145"/>
  <c r="B17" i="145"/>
  <c r="D5" i="153"/>
  <c r="J37" i="142"/>
  <c r="J38" i="142"/>
  <c r="J39" i="142"/>
  <c r="K39" i="142"/>
  <c r="K38" i="142"/>
  <c r="K37" i="142"/>
  <c r="K40" i="142" s="1"/>
  <c r="Z9" i="142"/>
  <c r="E3" i="151"/>
  <c r="Z36" i="142"/>
  <c r="Z35" i="142"/>
  <c r="Z34" i="142"/>
  <c r="Z33" i="142"/>
  <c r="Z32" i="142"/>
  <c r="Z31" i="142"/>
  <c r="Z30" i="142"/>
  <c r="R8" i="142"/>
  <c r="S8" i="142" s="1"/>
  <c r="T8" i="142" s="1"/>
  <c r="U8" i="142" s="1"/>
  <c r="V8" i="142" s="1"/>
  <c r="W8" i="142" s="1"/>
  <c r="X8" i="142" s="1"/>
  <c r="H30" i="153"/>
  <c r="G30" i="153"/>
  <c r="F30" i="153"/>
  <c r="E30" i="153"/>
  <c r="F24" i="153"/>
  <c r="C26" i="153" s="1"/>
  <c r="M23" i="153"/>
  <c r="D40" i="153" s="1"/>
  <c r="L23" i="153"/>
  <c r="D39" i="153" s="1"/>
  <c r="K23" i="153"/>
  <c r="D38" i="153" s="1"/>
  <c r="J23" i="153"/>
  <c r="D37" i="153" s="1"/>
  <c r="B16" i="153"/>
  <c r="C8" i="153"/>
  <c r="B32" i="153"/>
  <c r="L2" i="153"/>
  <c r="K2" i="153"/>
  <c r="J2" i="153"/>
  <c r="B2" i="153"/>
  <c r="J25" i="118"/>
  <c r="K25" i="118"/>
  <c r="L25" i="118"/>
  <c r="M25" i="118"/>
  <c r="K23" i="105"/>
  <c r="L23" i="105"/>
  <c r="M23" i="105"/>
  <c r="J23" i="105"/>
  <c r="F25" i="105"/>
  <c r="C27" i="105" s="1"/>
  <c r="H33" i="105" s="1"/>
  <c r="M2" i="105" s="1"/>
  <c r="C19" i="73"/>
  <c r="C18" i="73"/>
  <c r="G18" i="73" s="1"/>
  <c r="E18" i="73"/>
  <c r="C17" i="73"/>
  <c r="C14" i="73"/>
  <c r="C13" i="73"/>
  <c r="G13" i="73" s="1"/>
  <c r="C12" i="73"/>
  <c r="C9" i="73"/>
  <c r="D9" i="73"/>
  <c r="G9" i="73" s="1"/>
  <c r="C8" i="73"/>
  <c r="E8" i="73" s="1"/>
  <c r="G8" i="73" s="1"/>
  <c r="B20" i="91"/>
  <c r="M37" i="142"/>
  <c r="L47" i="142" s="1"/>
  <c r="N37" i="142"/>
  <c r="O37" i="142"/>
  <c r="P37" i="142"/>
  <c r="Q37" i="142"/>
  <c r="R37" i="142"/>
  <c r="S37" i="142"/>
  <c r="T37" i="142"/>
  <c r="U37" i="142"/>
  <c r="V37" i="142"/>
  <c r="W37" i="142"/>
  <c r="X37" i="142"/>
  <c r="M38" i="142"/>
  <c r="L57" i="142" s="1"/>
  <c r="N38" i="142"/>
  <c r="O38" i="142"/>
  <c r="P38" i="142"/>
  <c r="Q38" i="142"/>
  <c r="R38" i="142"/>
  <c r="S38" i="142"/>
  <c r="T38" i="142"/>
  <c r="U38" i="142"/>
  <c r="V38" i="142"/>
  <c r="W38" i="142"/>
  <c r="X38" i="142"/>
  <c r="G7" i="1"/>
  <c r="D81" i="145"/>
  <c r="D7" i="1"/>
  <c r="C70" i="145" s="1"/>
  <c r="B82" i="145"/>
  <c r="A13" i="1"/>
  <c r="A14" i="1" s="1"/>
  <c r="B70" i="145"/>
  <c r="B72" i="145"/>
  <c r="B73" i="145"/>
  <c r="B74" i="145"/>
  <c r="B75" i="145"/>
  <c r="B76" i="145"/>
  <c r="B77" i="145"/>
  <c r="B60" i="1"/>
  <c r="B63" i="143"/>
  <c r="B79" i="145"/>
  <c r="B71" i="145"/>
  <c r="E67" i="145"/>
  <c r="F25" i="88"/>
  <c r="F26" i="88" s="1"/>
  <c r="C28" i="88" s="1"/>
  <c r="D27" i="1"/>
  <c r="D30" i="143"/>
  <c r="C67" i="145"/>
  <c r="B67" i="145"/>
  <c r="D61" i="145"/>
  <c r="C61" i="145"/>
  <c r="B63" i="145"/>
  <c r="B23" i="145"/>
  <c r="B20" i="145"/>
  <c r="B44" i="145"/>
  <c r="B12" i="145" s="1"/>
  <c r="B87" i="1"/>
  <c r="B43" i="145"/>
  <c r="B11" i="145" s="1"/>
  <c r="B50" i="1"/>
  <c r="B39" i="1"/>
  <c r="B35" i="1"/>
  <c r="B39" i="145"/>
  <c r="B7" i="145" s="1"/>
  <c r="D24" i="2"/>
  <c r="E24" i="2" s="1"/>
  <c r="E24" i="80"/>
  <c r="C26" i="80" s="1"/>
  <c r="H32" i="80" s="1"/>
  <c r="G14" i="1" s="1"/>
  <c r="K14" i="1" s="1"/>
  <c r="D17" i="143"/>
  <c r="D31" i="145"/>
  <c r="C31" i="145"/>
  <c r="D36" i="145"/>
  <c r="C36" i="145"/>
  <c r="B15" i="1"/>
  <c r="B28" i="1"/>
  <c r="B38" i="145" s="1"/>
  <c r="B6" i="145" s="1"/>
  <c r="O130" i="1"/>
  <c r="F23" i="82"/>
  <c r="F24" i="82"/>
  <c r="F25" i="82"/>
  <c r="F26" i="82"/>
  <c r="F27" i="82"/>
  <c r="D22" i="1"/>
  <c r="D25" i="143" s="1"/>
  <c r="F25" i="83"/>
  <c r="C27" i="83" s="1"/>
  <c r="M2" i="83" s="1"/>
  <c r="D23" i="1"/>
  <c r="D26" i="143" s="1"/>
  <c r="F24" i="84"/>
  <c r="C26" i="84" s="1"/>
  <c r="H32" i="84" s="1"/>
  <c r="M2" i="84" s="1"/>
  <c r="D24" i="1"/>
  <c r="F26" i="85"/>
  <c r="C28" i="85" s="1"/>
  <c r="M2" i="85" s="1"/>
  <c r="D25" i="1"/>
  <c r="D28" i="143" s="1"/>
  <c r="F40" i="87"/>
  <c r="C42" i="87" s="1"/>
  <c r="H48" i="87" s="1"/>
  <c r="D26" i="1"/>
  <c r="B16" i="143"/>
  <c r="B17" i="143"/>
  <c r="B19" i="143"/>
  <c r="B20" i="143"/>
  <c r="B21" i="143"/>
  <c r="B22" i="143"/>
  <c r="B23" i="143"/>
  <c r="B24" i="143"/>
  <c r="B25" i="143"/>
  <c r="B26" i="143"/>
  <c r="B27" i="143"/>
  <c r="B28" i="143"/>
  <c r="B29" i="143"/>
  <c r="B30" i="143"/>
  <c r="B32" i="143"/>
  <c r="B33" i="143"/>
  <c r="B34" i="143"/>
  <c r="B35" i="143"/>
  <c r="B36" i="143"/>
  <c r="B37" i="143"/>
  <c r="B39" i="143"/>
  <c r="B40" i="143"/>
  <c r="B41" i="143"/>
  <c r="B43" i="143"/>
  <c r="B44" i="143"/>
  <c r="B45" i="143"/>
  <c r="B46" i="143"/>
  <c r="B47" i="143"/>
  <c r="B48" i="143"/>
  <c r="B49" i="143"/>
  <c r="B50" i="143"/>
  <c r="B51" i="143"/>
  <c r="B52" i="143"/>
  <c r="B54" i="143"/>
  <c r="B55" i="143"/>
  <c r="B56" i="143"/>
  <c r="B57" i="143"/>
  <c r="B58" i="143"/>
  <c r="B59" i="143"/>
  <c r="B60" i="143"/>
  <c r="B61" i="143"/>
  <c r="B62" i="143"/>
  <c r="B64" i="143"/>
  <c r="B65" i="143"/>
  <c r="B66" i="143"/>
  <c r="B67" i="143"/>
  <c r="B68" i="143"/>
  <c r="B69" i="143"/>
  <c r="B70" i="143"/>
  <c r="B71" i="143"/>
  <c r="B72" i="143"/>
  <c r="B73" i="143"/>
  <c r="B74" i="143"/>
  <c r="B75" i="143"/>
  <c r="B76" i="143"/>
  <c r="B77" i="143"/>
  <c r="B78" i="143"/>
  <c r="B79" i="143"/>
  <c r="B80" i="143"/>
  <c r="B81" i="143"/>
  <c r="B82" i="143"/>
  <c r="B83" i="143"/>
  <c r="B84" i="143"/>
  <c r="B85" i="143"/>
  <c r="B86" i="143"/>
  <c r="B87" i="143"/>
  <c r="B88" i="143"/>
  <c r="B89" i="143"/>
  <c r="B91" i="143"/>
  <c r="B92" i="143"/>
  <c r="B93" i="143"/>
  <c r="B94" i="143"/>
  <c r="B15" i="143"/>
  <c r="L53" i="142"/>
  <c r="L43" i="142"/>
  <c r="G2" i="1"/>
  <c r="L56" i="142"/>
  <c r="C56" i="142"/>
  <c r="L46" i="142"/>
  <c r="C46" i="142"/>
  <c r="J24" i="130"/>
  <c r="K24" i="130"/>
  <c r="L24" i="130"/>
  <c r="M24" i="130"/>
  <c r="F25" i="130"/>
  <c r="W39" i="142"/>
  <c r="V39" i="142"/>
  <c r="V40" i="142" s="1"/>
  <c r="V41" i="142" s="1"/>
  <c r="U39" i="142"/>
  <c r="T39" i="142"/>
  <c r="S39" i="142"/>
  <c r="S40" i="142" s="1"/>
  <c r="S41" i="142" s="1"/>
  <c r="R39" i="142"/>
  <c r="R40" i="142" s="1"/>
  <c r="R41" i="142" s="1"/>
  <c r="Q39" i="142"/>
  <c r="P39" i="142"/>
  <c r="O39" i="142"/>
  <c r="N39" i="142"/>
  <c r="N40" i="142" s="1"/>
  <c r="N41" i="142" s="1"/>
  <c r="L58" i="142"/>
  <c r="H35" i="142"/>
  <c r="H34" i="142"/>
  <c r="H33" i="142"/>
  <c r="H32" i="142"/>
  <c r="H31" i="142"/>
  <c r="H30" i="142"/>
  <c r="C8" i="133"/>
  <c r="D5" i="133"/>
  <c r="B34" i="133" s="1"/>
  <c r="C8" i="117"/>
  <c r="K130" i="1"/>
  <c r="I130" i="1"/>
  <c r="Q129" i="1"/>
  <c r="Q127" i="1"/>
  <c r="Q126" i="1"/>
  <c r="Q125" i="1"/>
  <c r="Q124" i="1"/>
  <c r="Q123" i="1"/>
  <c r="Q122" i="1"/>
  <c r="Q121" i="1"/>
  <c r="O136" i="1"/>
  <c r="M136" i="1"/>
  <c r="K136" i="1"/>
  <c r="I136" i="1"/>
  <c r="Q135" i="1"/>
  <c r="Q134" i="1"/>
  <c r="Q133" i="1"/>
  <c r="Q116" i="1"/>
  <c r="Q115" i="1"/>
  <c r="Q114" i="1"/>
  <c r="M118" i="1"/>
  <c r="K118" i="1"/>
  <c r="I118" i="1"/>
  <c r="B136" i="1"/>
  <c r="B130" i="1"/>
  <c r="B118" i="1"/>
  <c r="E109" i="1"/>
  <c r="F24" i="140"/>
  <c r="C26" i="140" s="1"/>
  <c r="H32" i="140" s="1"/>
  <c r="M2" i="140" s="1"/>
  <c r="L2" i="140"/>
  <c r="K2" i="140"/>
  <c r="J2" i="140"/>
  <c r="F24" i="139"/>
  <c r="C26" i="139" s="1"/>
  <c r="H32" i="139" s="1"/>
  <c r="L2" i="139"/>
  <c r="K2" i="139"/>
  <c r="J2" i="139"/>
  <c r="L2" i="137"/>
  <c r="K2" i="137"/>
  <c r="J2" i="137"/>
  <c r="F24" i="136"/>
  <c r="C26" i="136" s="1"/>
  <c r="L2" i="136"/>
  <c r="K2" i="136"/>
  <c r="J2" i="136"/>
  <c r="F24" i="138"/>
  <c r="C26" i="138"/>
  <c r="H32" i="138" s="1"/>
  <c r="M2" i="138" s="1"/>
  <c r="L2" i="138"/>
  <c r="K2" i="138"/>
  <c r="J2" i="138"/>
  <c r="K2" i="135"/>
  <c r="L2" i="135"/>
  <c r="F24" i="135"/>
  <c r="C26" i="135" s="1"/>
  <c r="J2" i="135"/>
  <c r="J2" i="134"/>
  <c r="L2" i="134"/>
  <c r="K2" i="134"/>
  <c r="K2" i="133"/>
  <c r="L2" i="133"/>
  <c r="J2" i="133"/>
  <c r="F24" i="132"/>
  <c r="C26" i="132" s="1"/>
  <c r="L2" i="132"/>
  <c r="K2" i="132"/>
  <c r="J2" i="132"/>
  <c r="F24" i="131"/>
  <c r="C26" i="131" s="1"/>
  <c r="H32" i="131" s="1"/>
  <c r="M2" i="131" s="1"/>
  <c r="L2" i="131"/>
  <c r="K2" i="131"/>
  <c r="J2" i="131"/>
  <c r="K2" i="130"/>
  <c r="L2" i="130"/>
  <c r="J2" i="130"/>
  <c r="K2" i="129"/>
  <c r="L2" i="129"/>
  <c r="J2" i="129"/>
  <c r="F25" i="128"/>
  <c r="C27" i="128"/>
  <c r="H33" i="128" s="1"/>
  <c r="M2" i="128" s="1"/>
  <c r="L2" i="128"/>
  <c r="K2" i="128"/>
  <c r="J2" i="128"/>
  <c r="K2" i="127"/>
  <c r="L2" i="127"/>
  <c r="F25" i="127"/>
  <c r="C27" i="127"/>
  <c r="J2" i="127"/>
  <c r="K2" i="126"/>
  <c r="L2" i="126"/>
  <c r="F26" i="126"/>
  <c r="C28" i="126" s="1"/>
  <c r="J2" i="126"/>
  <c r="L2" i="125"/>
  <c r="K2" i="125"/>
  <c r="J2" i="125"/>
  <c r="K2" i="124"/>
  <c r="L2" i="124"/>
  <c r="F28" i="124"/>
  <c r="C30" i="124"/>
  <c r="H36" i="124" s="1"/>
  <c r="M2" i="124" s="1"/>
  <c r="J2" i="124"/>
  <c r="F23" i="123"/>
  <c r="C25" i="123" s="1"/>
  <c r="L2" i="123"/>
  <c r="K2" i="123"/>
  <c r="J2" i="123"/>
  <c r="K2" i="122"/>
  <c r="L2" i="122"/>
  <c r="F27" i="122"/>
  <c r="C29" i="122" s="1"/>
  <c r="H35" i="122" s="1"/>
  <c r="M2" i="122" s="1"/>
  <c r="J2" i="122"/>
  <c r="F23" i="121"/>
  <c r="C25" i="121" s="1"/>
  <c r="L2" i="121"/>
  <c r="K2" i="121"/>
  <c r="J2" i="121"/>
  <c r="F23" i="119"/>
  <c r="C25" i="119" s="1"/>
  <c r="L2" i="119"/>
  <c r="K2" i="119"/>
  <c r="J2" i="119"/>
  <c r="K2" i="118"/>
  <c r="L2" i="118"/>
  <c r="J2" i="118"/>
  <c r="F23" i="117"/>
  <c r="C25" i="117" s="1"/>
  <c r="H31" i="117" s="1"/>
  <c r="M2" i="117" s="1"/>
  <c r="L2" i="117"/>
  <c r="K2" i="117"/>
  <c r="J2" i="117"/>
  <c r="F23" i="116"/>
  <c r="C25" i="116" s="1"/>
  <c r="L2" i="116"/>
  <c r="K2" i="116"/>
  <c r="J2" i="116"/>
  <c r="K2" i="115"/>
  <c r="L2" i="115"/>
  <c r="F30" i="115"/>
  <c r="C32" i="115" s="1"/>
  <c r="J2" i="115"/>
  <c r="F23" i="113"/>
  <c r="C25" i="113"/>
  <c r="H31" i="113" s="1"/>
  <c r="M2" i="113" s="1"/>
  <c r="L2" i="113"/>
  <c r="K2" i="113"/>
  <c r="J2" i="113"/>
  <c r="L2" i="114"/>
  <c r="K2" i="114"/>
  <c r="J2" i="114"/>
  <c r="F23" i="111"/>
  <c r="C25" i="111"/>
  <c r="L2" i="111"/>
  <c r="K2" i="111"/>
  <c r="J2" i="111"/>
  <c r="F23" i="110"/>
  <c r="C25" i="110" s="1"/>
  <c r="H31" i="110" s="1"/>
  <c r="M2" i="110" s="1"/>
  <c r="L2" i="110"/>
  <c r="K2" i="110"/>
  <c r="J2" i="110"/>
  <c r="C8" i="141"/>
  <c r="D5" i="141"/>
  <c r="H31" i="141"/>
  <c r="G31" i="141"/>
  <c r="F31" i="141"/>
  <c r="E31" i="141"/>
  <c r="F25" i="141"/>
  <c r="C27" i="141" s="1"/>
  <c r="M24" i="141"/>
  <c r="D41" i="141"/>
  <c r="L24" i="141"/>
  <c r="D40" i="141" s="1"/>
  <c r="K24" i="141"/>
  <c r="D39" i="141" s="1"/>
  <c r="J24" i="141"/>
  <c r="D38" i="141" s="1"/>
  <c r="B17" i="141"/>
  <c r="L2" i="141"/>
  <c r="K2" i="141"/>
  <c r="J2" i="141"/>
  <c r="B2" i="141"/>
  <c r="K2" i="109"/>
  <c r="L2" i="109"/>
  <c r="F23" i="109"/>
  <c r="C25" i="109" s="1"/>
  <c r="J2" i="109"/>
  <c r="K2" i="108"/>
  <c r="L2" i="108"/>
  <c r="F26" i="108"/>
  <c r="C28" i="108" s="1"/>
  <c r="H34" i="108" s="1"/>
  <c r="M2" i="108" s="1"/>
  <c r="J2" i="108"/>
  <c r="K2" i="107"/>
  <c r="L2" i="107"/>
  <c r="F23" i="107"/>
  <c r="C25" i="107" s="1"/>
  <c r="J2" i="107"/>
  <c r="K2" i="106"/>
  <c r="L2" i="106"/>
  <c r="F24" i="106"/>
  <c r="C26" i="106" s="1"/>
  <c r="J2" i="106"/>
  <c r="K2" i="105"/>
  <c r="L2" i="105"/>
  <c r="J2" i="105"/>
  <c r="F25" i="104"/>
  <c r="C27" i="104" s="1"/>
  <c r="L2" i="104"/>
  <c r="K2" i="104"/>
  <c r="J2" i="104"/>
  <c r="C27" i="103"/>
  <c r="L2" i="103"/>
  <c r="K2" i="103"/>
  <c r="J2" i="103"/>
  <c r="K2" i="98"/>
  <c r="L2" i="98"/>
  <c r="F28" i="98"/>
  <c r="C30" i="98" s="1"/>
  <c r="K2" i="102"/>
  <c r="L2" i="102"/>
  <c r="F25" i="102"/>
  <c r="C27" i="102" s="1"/>
  <c r="J2" i="102"/>
  <c r="F24" i="101"/>
  <c r="C26" i="101"/>
  <c r="H32" i="101" s="1"/>
  <c r="M2" i="101" s="1"/>
  <c r="K2" i="101"/>
  <c r="L2" i="101"/>
  <c r="J2" i="101"/>
  <c r="K2" i="100"/>
  <c r="L2" i="100"/>
  <c r="J2" i="100"/>
  <c r="K2" i="99"/>
  <c r="L2" i="99"/>
  <c r="F24" i="99"/>
  <c r="C26" i="99" s="1"/>
  <c r="H32" i="99" s="1"/>
  <c r="M2" i="99" s="1"/>
  <c r="J2" i="99"/>
  <c r="J2" i="98"/>
  <c r="K2" i="97"/>
  <c r="L2" i="97"/>
  <c r="F24" i="97"/>
  <c r="F25" i="97"/>
  <c r="J2" i="97"/>
  <c r="K2" i="96"/>
  <c r="L2" i="96"/>
  <c r="F25" i="96"/>
  <c r="C27" i="96" s="1"/>
  <c r="H33" i="96" s="1"/>
  <c r="M2" i="96" s="1"/>
  <c r="J2" i="96"/>
  <c r="K2" i="95"/>
  <c r="L2" i="95"/>
  <c r="F26" i="95"/>
  <c r="C28" i="95" s="1"/>
  <c r="J2" i="95"/>
  <c r="K2" i="94"/>
  <c r="L2" i="94"/>
  <c r="F23" i="94"/>
  <c r="F24" i="94" s="1"/>
  <c r="C26" i="94" s="1"/>
  <c r="J2" i="94"/>
  <c r="K2" i="93"/>
  <c r="L2" i="93"/>
  <c r="F22" i="93"/>
  <c r="F23" i="93"/>
  <c r="C25" i="93" s="1"/>
  <c r="H31" i="93" s="1"/>
  <c r="M2" i="93" s="1"/>
  <c r="J2" i="93"/>
  <c r="K2" i="92"/>
  <c r="L2" i="92"/>
  <c r="F25" i="92"/>
  <c r="F26" i="92"/>
  <c r="F27" i="92"/>
  <c r="F28" i="92"/>
  <c r="F29" i="92"/>
  <c r="J2" i="92"/>
  <c r="K2" i="91"/>
  <c r="L2" i="91"/>
  <c r="J2" i="91"/>
  <c r="K2" i="90"/>
  <c r="L2" i="90"/>
  <c r="F24" i="90"/>
  <c r="F25" i="90"/>
  <c r="F26" i="90"/>
  <c r="J2" i="90"/>
  <c r="L2" i="88"/>
  <c r="K2" i="88"/>
  <c r="J2" i="88"/>
  <c r="K2" i="87"/>
  <c r="L2" i="87"/>
  <c r="J2" i="87"/>
  <c r="K2" i="85"/>
  <c r="L2" i="85"/>
  <c r="J2" i="85"/>
  <c r="K2" i="84"/>
  <c r="L2" i="84"/>
  <c r="J2" i="84"/>
  <c r="K2" i="83"/>
  <c r="L2" i="83"/>
  <c r="J2" i="83"/>
  <c r="K2" i="82"/>
  <c r="L2" i="82"/>
  <c r="J2" i="82"/>
  <c r="K2" i="81"/>
  <c r="L2" i="81"/>
  <c r="F23" i="81"/>
  <c r="F24" i="81"/>
  <c r="J2" i="81"/>
  <c r="F27" i="1"/>
  <c r="H27" i="1" s="1"/>
  <c r="F26" i="1"/>
  <c r="E26" i="1"/>
  <c r="F25" i="1"/>
  <c r="E25" i="1"/>
  <c r="F24" i="1"/>
  <c r="E24" i="1"/>
  <c r="F23" i="1"/>
  <c r="E23" i="1"/>
  <c r="F22" i="1"/>
  <c r="H22" i="1"/>
  <c r="E22" i="1"/>
  <c r="F14" i="1"/>
  <c r="E14" i="1"/>
  <c r="B90" i="143"/>
  <c r="B31" i="143"/>
  <c r="F7" i="1"/>
  <c r="E7" i="1"/>
  <c r="D5" i="140"/>
  <c r="C8" i="140"/>
  <c r="H30" i="140"/>
  <c r="G30" i="140"/>
  <c r="F30" i="140"/>
  <c r="E30" i="140"/>
  <c r="M23" i="140"/>
  <c r="D40" i="140" s="1"/>
  <c r="L23" i="140"/>
  <c r="D39" i="140" s="1"/>
  <c r="K23" i="140"/>
  <c r="D38" i="140" s="1"/>
  <c r="J23" i="140"/>
  <c r="D37" i="140" s="1"/>
  <c r="B16" i="140"/>
  <c r="B2" i="140"/>
  <c r="C8" i="139"/>
  <c r="D5" i="139"/>
  <c r="B32" i="139" s="1"/>
  <c r="B22" i="139"/>
  <c r="H30" i="139"/>
  <c r="G30" i="139"/>
  <c r="F30" i="139"/>
  <c r="E30" i="139"/>
  <c r="M23" i="139"/>
  <c r="D40" i="139"/>
  <c r="L23" i="139"/>
  <c r="D39" i="139"/>
  <c r="K23" i="139"/>
  <c r="D38" i="139"/>
  <c r="J23" i="139"/>
  <c r="D37" i="139"/>
  <c r="B16" i="139"/>
  <c r="B2" i="139"/>
  <c r="C8" i="137"/>
  <c r="D5" i="137"/>
  <c r="C8" i="138"/>
  <c r="D5" i="138"/>
  <c r="B22" i="138" s="1"/>
  <c r="H30" i="138"/>
  <c r="G30" i="138"/>
  <c r="F30" i="138"/>
  <c r="E30" i="138"/>
  <c r="M23" i="138"/>
  <c r="D40" i="138" s="1"/>
  <c r="L23" i="138"/>
  <c r="D39" i="138" s="1"/>
  <c r="K23" i="138"/>
  <c r="D38" i="138" s="1"/>
  <c r="J23" i="138"/>
  <c r="D37" i="138" s="1"/>
  <c r="B16" i="138"/>
  <c r="B2" i="138"/>
  <c r="H30" i="137"/>
  <c r="G30" i="137"/>
  <c r="F30" i="137"/>
  <c r="E30" i="137"/>
  <c r="F24" i="137"/>
  <c r="C26" i="137" s="1"/>
  <c r="M23" i="137"/>
  <c r="D40" i="137" s="1"/>
  <c r="L23" i="137"/>
  <c r="D39" i="137" s="1"/>
  <c r="K23" i="137"/>
  <c r="D38" i="137" s="1"/>
  <c r="J23" i="137"/>
  <c r="D37" i="137" s="1"/>
  <c r="B16" i="137"/>
  <c r="B2" i="137"/>
  <c r="C8" i="136"/>
  <c r="D5" i="136"/>
  <c r="H30" i="136"/>
  <c r="G30" i="136"/>
  <c r="F30" i="136"/>
  <c r="E30" i="136"/>
  <c r="M23" i="136"/>
  <c r="D40" i="136"/>
  <c r="L23" i="136"/>
  <c r="D39" i="136" s="1"/>
  <c r="K23" i="136"/>
  <c r="D38" i="136" s="1"/>
  <c r="J23" i="136"/>
  <c r="D37" i="136" s="1"/>
  <c r="B16" i="136"/>
  <c r="B2" i="136"/>
  <c r="C8" i="135"/>
  <c r="D5" i="135"/>
  <c r="B22" i="135" s="1"/>
  <c r="H30" i="135"/>
  <c r="G30" i="135"/>
  <c r="E30" i="135"/>
  <c r="M23" i="135"/>
  <c r="D40" i="135" s="1"/>
  <c r="L23" i="135"/>
  <c r="D39" i="135" s="1"/>
  <c r="K23" i="135"/>
  <c r="D38" i="135" s="1"/>
  <c r="J23" i="135"/>
  <c r="D37" i="135" s="1"/>
  <c r="B16" i="135"/>
  <c r="B2" i="135"/>
  <c r="H38" i="134"/>
  <c r="G38" i="134"/>
  <c r="F38" i="134"/>
  <c r="E38" i="134"/>
  <c r="F32" i="134"/>
  <c r="C34" i="134" s="1"/>
  <c r="H40" i="134" s="1"/>
  <c r="M2" i="134" s="1"/>
  <c r="M23" i="134"/>
  <c r="D48" i="134" s="1"/>
  <c r="L23" i="134"/>
  <c r="D47" i="134" s="1"/>
  <c r="K23" i="134"/>
  <c r="D46" i="134" s="1"/>
  <c r="J23" i="134"/>
  <c r="D45" i="134" s="1"/>
  <c r="B16" i="134"/>
  <c r="C8" i="134"/>
  <c r="D5" i="134"/>
  <c r="B2" i="134"/>
  <c r="C8" i="129"/>
  <c r="D5" i="129"/>
  <c r="B38" i="129" s="1"/>
  <c r="H32" i="133"/>
  <c r="G32" i="133"/>
  <c r="F32" i="133"/>
  <c r="E32" i="133"/>
  <c r="F26" i="133"/>
  <c r="C28" i="133" s="1"/>
  <c r="M23" i="133"/>
  <c r="D42" i="133" s="1"/>
  <c r="L23" i="133"/>
  <c r="D41" i="133" s="1"/>
  <c r="K23" i="133"/>
  <c r="D40" i="133" s="1"/>
  <c r="J23" i="133"/>
  <c r="D39" i="133" s="1"/>
  <c r="B16" i="133"/>
  <c r="B2" i="133"/>
  <c r="C8" i="132"/>
  <c r="D5" i="132"/>
  <c r="H30" i="132"/>
  <c r="G30" i="132"/>
  <c r="F30" i="132"/>
  <c r="E30" i="132"/>
  <c r="M23" i="132"/>
  <c r="D40" i="132" s="1"/>
  <c r="L23" i="132"/>
  <c r="D39" i="132"/>
  <c r="K23" i="132"/>
  <c r="D38" i="132" s="1"/>
  <c r="J23" i="132"/>
  <c r="D37" i="132" s="1"/>
  <c r="B16" i="132"/>
  <c r="B2" i="132"/>
  <c r="C8" i="131"/>
  <c r="D5" i="131"/>
  <c r="H30" i="131"/>
  <c r="G30" i="131"/>
  <c r="F30" i="131"/>
  <c r="E30" i="131"/>
  <c r="M23" i="131"/>
  <c r="D40" i="131" s="1"/>
  <c r="L23" i="131"/>
  <c r="D39" i="131" s="1"/>
  <c r="K23" i="131"/>
  <c r="D38" i="131" s="1"/>
  <c r="J23" i="131"/>
  <c r="D37" i="131" s="1"/>
  <c r="B16" i="131"/>
  <c r="B2" i="131"/>
  <c r="C8" i="130"/>
  <c r="D5" i="130"/>
  <c r="H31" i="130"/>
  <c r="G31" i="130"/>
  <c r="F31" i="130"/>
  <c r="E31" i="130"/>
  <c r="C27" i="130"/>
  <c r="H33" i="130" s="1"/>
  <c r="M2" i="130" s="1"/>
  <c r="M23" i="130"/>
  <c r="D41" i="130" s="1"/>
  <c r="L23" i="130"/>
  <c r="K23" i="130"/>
  <c r="J23" i="130"/>
  <c r="D38" i="130" s="1"/>
  <c r="B16" i="130"/>
  <c r="B2" i="130"/>
  <c r="H36" i="129"/>
  <c r="G36" i="129"/>
  <c r="F36" i="129"/>
  <c r="E36" i="129"/>
  <c r="C32" i="129"/>
  <c r="H38" i="129" s="1"/>
  <c r="M2" i="129" s="1"/>
  <c r="M25" i="129"/>
  <c r="D46" i="129" s="1"/>
  <c r="L25" i="129"/>
  <c r="D45" i="129" s="1"/>
  <c r="K25" i="129"/>
  <c r="D44" i="129" s="1"/>
  <c r="J25" i="129"/>
  <c r="D43" i="129" s="1"/>
  <c r="D47" i="129" s="1"/>
  <c r="B16" i="129"/>
  <c r="B2" i="129"/>
  <c r="C8" i="128"/>
  <c r="D5" i="128"/>
  <c r="H31" i="128"/>
  <c r="G31" i="128"/>
  <c r="F31" i="128"/>
  <c r="E31" i="128"/>
  <c r="M24" i="128"/>
  <c r="L24" i="128"/>
  <c r="K24" i="128"/>
  <c r="J24" i="128"/>
  <c r="M23" i="128"/>
  <c r="D41" i="128" s="1"/>
  <c r="L23" i="128"/>
  <c r="K23" i="128"/>
  <c r="J23" i="128"/>
  <c r="B16" i="128"/>
  <c r="B2" i="128"/>
  <c r="C8" i="127"/>
  <c r="D5" i="127"/>
  <c r="B33" i="127" s="1"/>
  <c r="H31" i="127"/>
  <c r="G31" i="127"/>
  <c r="F31" i="127"/>
  <c r="E31" i="127"/>
  <c r="M24" i="127"/>
  <c r="L24" i="127"/>
  <c r="K24" i="127"/>
  <c r="J24" i="127"/>
  <c r="M23" i="127"/>
  <c r="D41" i="127" s="1"/>
  <c r="L23" i="127"/>
  <c r="D40" i="127"/>
  <c r="J23" i="127"/>
  <c r="K23" i="127"/>
  <c r="D39" i="127" s="1"/>
  <c r="B16" i="127"/>
  <c r="B2" i="127"/>
  <c r="C8" i="126"/>
  <c r="D5" i="126"/>
  <c r="H32" i="126"/>
  <c r="G32" i="126"/>
  <c r="F32" i="126"/>
  <c r="E32" i="126"/>
  <c r="M25" i="126"/>
  <c r="L25" i="126"/>
  <c r="K25" i="126"/>
  <c r="J25" i="126"/>
  <c r="M24" i="126"/>
  <c r="L24" i="126"/>
  <c r="K24" i="126"/>
  <c r="J24" i="126"/>
  <c r="J23" i="126"/>
  <c r="M23" i="126"/>
  <c r="L23" i="126"/>
  <c r="D41" i="126" s="1"/>
  <c r="K23" i="126"/>
  <c r="B16" i="126"/>
  <c r="B2" i="126"/>
  <c r="M27" i="125"/>
  <c r="L27" i="125"/>
  <c r="K27" i="125"/>
  <c r="J27" i="125"/>
  <c r="M26" i="125"/>
  <c r="L26" i="125"/>
  <c r="K26" i="125"/>
  <c r="J26" i="125"/>
  <c r="M23" i="125"/>
  <c r="D45" i="125" s="1"/>
  <c r="L23" i="125"/>
  <c r="K23" i="125"/>
  <c r="D43" i="125" s="1"/>
  <c r="J23" i="125"/>
  <c r="D42" i="125" s="1"/>
  <c r="C8" i="124"/>
  <c r="D5" i="124"/>
  <c r="H34" i="124"/>
  <c r="G34" i="124"/>
  <c r="F34" i="124"/>
  <c r="E34" i="124"/>
  <c r="M27" i="124"/>
  <c r="L27" i="124"/>
  <c r="K27" i="124"/>
  <c r="J27" i="124"/>
  <c r="M25" i="124"/>
  <c r="L25" i="124"/>
  <c r="K25" i="124"/>
  <c r="J25" i="124"/>
  <c r="M24" i="124"/>
  <c r="L24" i="124"/>
  <c r="K24" i="124"/>
  <c r="J24" i="124"/>
  <c r="M23" i="124"/>
  <c r="L23" i="124"/>
  <c r="K23" i="124"/>
  <c r="J23" i="124"/>
  <c r="B16" i="124"/>
  <c r="B2" i="124"/>
  <c r="C8" i="123"/>
  <c r="D5" i="123"/>
  <c r="H29" i="123"/>
  <c r="G29" i="123"/>
  <c r="F29" i="123"/>
  <c r="E29" i="123"/>
  <c r="M22" i="123"/>
  <c r="D39" i="123" s="1"/>
  <c r="L22" i="123"/>
  <c r="D38" i="123" s="1"/>
  <c r="K22" i="123"/>
  <c r="D37" i="123" s="1"/>
  <c r="J22" i="123"/>
  <c r="D36" i="123"/>
  <c r="B16" i="123"/>
  <c r="B2" i="123"/>
  <c r="C8" i="122"/>
  <c r="D5" i="122"/>
  <c r="H33" i="122"/>
  <c r="G33" i="122"/>
  <c r="F33" i="122"/>
  <c r="E33" i="122"/>
  <c r="M26" i="122"/>
  <c r="L26" i="122"/>
  <c r="K26" i="122"/>
  <c r="J26" i="122"/>
  <c r="M25" i="122"/>
  <c r="L25" i="122"/>
  <c r="K25" i="122"/>
  <c r="J25" i="122"/>
  <c r="M24" i="122"/>
  <c r="L24" i="122"/>
  <c r="K24" i="122"/>
  <c r="J24" i="122"/>
  <c r="M23" i="122"/>
  <c r="D43" i="122"/>
  <c r="L23" i="122"/>
  <c r="K23" i="122"/>
  <c r="J23" i="122"/>
  <c r="B16" i="122"/>
  <c r="B2" i="122"/>
  <c r="C8" i="121"/>
  <c r="D5" i="121"/>
  <c r="B21" i="121" s="1"/>
  <c r="H29" i="121"/>
  <c r="G29" i="121"/>
  <c r="F29" i="121"/>
  <c r="E29" i="121"/>
  <c r="M22" i="121"/>
  <c r="D39" i="121" s="1"/>
  <c r="L22" i="121"/>
  <c r="D38" i="121" s="1"/>
  <c r="K22" i="121"/>
  <c r="D37" i="121"/>
  <c r="J22" i="121"/>
  <c r="D36" i="121" s="1"/>
  <c r="B16" i="121"/>
  <c r="B2" i="121"/>
  <c r="C8" i="119"/>
  <c r="D5" i="119"/>
  <c r="H29" i="119"/>
  <c r="G29" i="119"/>
  <c r="F29" i="119"/>
  <c r="E29" i="119"/>
  <c r="M22" i="119"/>
  <c r="D39" i="119" s="1"/>
  <c r="L22" i="119"/>
  <c r="D38" i="119" s="1"/>
  <c r="K22" i="119"/>
  <c r="D37" i="119"/>
  <c r="J22" i="119"/>
  <c r="D36" i="119" s="1"/>
  <c r="B16" i="119"/>
  <c r="B2" i="119"/>
  <c r="C8" i="118"/>
  <c r="D5" i="118"/>
  <c r="B39" i="118" s="1"/>
  <c r="H37" i="118"/>
  <c r="G37" i="118"/>
  <c r="F37" i="118"/>
  <c r="E37" i="118"/>
  <c r="F31" i="118"/>
  <c r="C33" i="118" s="1"/>
  <c r="M30" i="118"/>
  <c r="L30" i="118"/>
  <c r="K30" i="118"/>
  <c r="J30" i="118"/>
  <c r="M28" i="118"/>
  <c r="L28" i="118"/>
  <c r="K28" i="118"/>
  <c r="J28" i="118"/>
  <c r="M27" i="118"/>
  <c r="L27" i="118"/>
  <c r="K27" i="118"/>
  <c r="J27" i="118"/>
  <c r="M26" i="118"/>
  <c r="L26" i="118"/>
  <c r="K26" i="118"/>
  <c r="J26" i="118"/>
  <c r="M24" i="118"/>
  <c r="L24" i="118"/>
  <c r="K24" i="118"/>
  <c r="J24" i="118"/>
  <c r="M23" i="118"/>
  <c r="L23" i="118"/>
  <c r="K23" i="118"/>
  <c r="J23" i="118"/>
  <c r="B16" i="118"/>
  <c r="B2" i="118"/>
  <c r="D5" i="117"/>
  <c r="H29" i="117"/>
  <c r="G29" i="117"/>
  <c r="F29" i="117"/>
  <c r="E29" i="117"/>
  <c r="M22" i="117"/>
  <c r="D39" i="117" s="1"/>
  <c r="L22" i="117"/>
  <c r="D38" i="117" s="1"/>
  <c r="K22" i="117"/>
  <c r="D37" i="117" s="1"/>
  <c r="J22" i="117"/>
  <c r="D36" i="117" s="1"/>
  <c r="B16" i="117"/>
  <c r="B2" i="117"/>
  <c r="C8" i="116"/>
  <c r="D5" i="116"/>
  <c r="H29" i="116"/>
  <c r="G29" i="116"/>
  <c r="F29" i="116"/>
  <c r="E29" i="116"/>
  <c r="M22" i="116"/>
  <c r="D39" i="116" s="1"/>
  <c r="L22" i="116"/>
  <c r="D38" i="116" s="1"/>
  <c r="K22" i="116"/>
  <c r="D37" i="116"/>
  <c r="J22" i="116"/>
  <c r="D36" i="116" s="1"/>
  <c r="B16" i="116"/>
  <c r="B2" i="116"/>
  <c r="J25" i="115"/>
  <c r="K25" i="115"/>
  <c r="L25" i="115"/>
  <c r="M25" i="115"/>
  <c r="J26" i="115"/>
  <c r="K26" i="115"/>
  <c r="L26" i="115"/>
  <c r="M26" i="115"/>
  <c r="J27" i="115"/>
  <c r="K27" i="115"/>
  <c r="L27" i="115"/>
  <c r="M27" i="115"/>
  <c r="J28" i="115"/>
  <c r="K28" i="115"/>
  <c r="L28" i="115"/>
  <c r="M28" i="115"/>
  <c r="J29" i="115"/>
  <c r="K29" i="115"/>
  <c r="L29" i="115"/>
  <c r="M29" i="115"/>
  <c r="C8" i="115"/>
  <c r="D5" i="115"/>
  <c r="B21" i="115" s="1"/>
  <c r="H36" i="115"/>
  <c r="G36" i="115"/>
  <c r="F36" i="115"/>
  <c r="E36" i="115"/>
  <c r="M24" i="115"/>
  <c r="L24" i="115"/>
  <c r="K24" i="115"/>
  <c r="J24" i="115"/>
  <c r="M23" i="115"/>
  <c r="L23" i="115"/>
  <c r="K23" i="115"/>
  <c r="J23" i="115"/>
  <c r="M22" i="115"/>
  <c r="L22" i="115"/>
  <c r="K22" i="115"/>
  <c r="J22" i="115"/>
  <c r="B16" i="115"/>
  <c r="B2" i="115"/>
  <c r="C8" i="114"/>
  <c r="D5" i="114"/>
  <c r="B31" i="114"/>
  <c r="H29" i="114"/>
  <c r="G29" i="114"/>
  <c r="F29" i="114"/>
  <c r="E29" i="114"/>
  <c r="F23" i="114"/>
  <c r="C25" i="114"/>
  <c r="M22" i="114"/>
  <c r="D39" i="114"/>
  <c r="L22" i="114"/>
  <c r="D38" i="114"/>
  <c r="K22" i="114"/>
  <c r="D37" i="114"/>
  <c r="J22" i="114"/>
  <c r="D36" i="114"/>
  <c r="B16" i="114"/>
  <c r="B2" i="114"/>
  <c r="C8" i="113"/>
  <c r="D5" i="113"/>
  <c r="B38" i="115"/>
  <c r="H29" i="113"/>
  <c r="G29" i="113"/>
  <c r="F29" i="113"/>
  <c r="E29" i="113"/>
  <c r="M22" i="113"/>
  <c r="D39" i="113" s="1"/>
  <c r="L22" i="113"/>
  <c r="D38" i="113"/>
  <c r="K22" i="113"/>
  <c r="D37" i="113" s="1"/>
  <c r="J22" i="113"/>
  <c r="D36" i="113" s="1"/>
  <c r="B16" i="113"/>
  <c r="B2" i="113"/>
  <c r="C8" i="111"/>
  <c r="D5" i="111"/>
  <c r="H29" i="111"/>
  <c r="G29" i="111"/>
  <c r="F29" i="111"/>
  <c r="E29" i="111"/>
  <c r="M22" i="111"/>
  <c r="D39" i="111" s="1"/>
  <c r="L22" i="111"/>
  <c r="D38" i="111"/>
  <c r="K22" i="111"/>
  <c r="D37" i="111" s="1"/>
  <c r="J22" i="111"/>
  <c r="D36" i="111" s="1"/>
  <c r="D40" i="111" s="1"/>
  <c r="B16" i="111"/>
  <c r="B2" i="111"/>
  <c r="C8" i="110"/>
  <c r="D5" i="110"/>
  <c r="H29" i="110"/>
  <c r="G29" i="110"/>
  <c r="F29" i="110"/>
  <c r="E29" i="110"/>
  <c r="M22" i="110"/>
  <c r="D39" i="110" s="1"/>
  <c r="L22" i="110"/>
  <c r="D38" i="110"/>
  <c r="K22" i="110"/>
  <c r="D37" i="110" s="1"/>
  <c r="J22" i="110"/>
  <c r="D36" i="110" s="1"/>
  <c r="D40" i="110" s="1"/>
  <c r="B16" i="110"/>
  <c r="B2" i="110"/>
  <c r="C8" i="109"/>
  <c r="D5" i="109"/>
  <c r="B21" i="109"/>
  <c r="H29" i="109"/>
  <c r="G29" i="109"/>
  <c r="F29" i="109"/>
  <c r="E29" i="109"/>
  <c r="M22" i="109"/>
  <c r="D39" i="109" s="1"/>
  <c r="L22" i="109"/>
  <c r="D38" i="109" s="1"/>
  <c r="K22" i="109"/>
  <c r="D37" i="109" s="1"/>
  <c r="J22" i="109"/>
  <c r="D36" i="109" s="1"/>
  <c r="D40" i="109" s="1"/>
  <c r="E38" i="109" s="1"/>
  <c r="B16" i="109"/>
  <c r="B2" i="109"/>
  <c r="C8" i="108"/>
  <c r="D5" i="108"/>
  <c r="J23" i="108"/>
  <c r="K23" i="108"/>
  <c r="L23" i="108"/>
  <c r="M23" i="108"/>
  <c r="J24" i="108"/>
  <c r="K24" i="108"/>
  <c r="L24" i="108"/>
  <c r="M24" i="108"/>
  <c r="J25" i="108"/>
  <c r="K25" i="108"/>
  <c r="L25" i="108"/>
  <c r="M25" i="108"/>
  <c r="H32" i="108"/>
  <c r="G32" i="108"/>
  <c r="F32" i="108"/>
  <c r="E32" i="108"/>
  <c r="M22" i="108"/>
  <c r="L22" i="108"/>
  <c r="K22" i="108"/>
  <c r="J22" i="108"/>
  <c r="B16" i="108"/>
  <c r="B2" i="108"/>
  <c r="C8" i="107"/>
  <c r="B31" i="109"/>
  <c r="D5" i="107"/>
  <c r="H29" i="107"/>
  <c r="G29" i="107"/>
  <c r="F29" i="107"/>
  <c r="E29" i="107"/>
  <c r="M22" i="107"/>
  <c r="D39" i="107"/>
  <c r="L22" i="107"/>
  <c r="D38" i="107" s="1"/>
  <c r="K22" i="107"/>
  <c r="D37" i="107" s="1"/>
  <c r="J22" i="107"/>
  <c r="D36" i="107" s="1"/>
  <c r="B16" i="107"/>
  <c r="B2" i="107"/>
  <c r="J23" i="106"/>
  <c r="K23" i="106"/>
  <c r="L23" i="106"/>
  <c r="M23" i="106"/>
  <c r="C8" i="106"/>
  <c r="D5" i="106"/>
  <c r="H30" i="106"/>
  <c r="G30" i="106"/>
  <c r="F30" i="106"/>
  <c r="E30" i="106"/>
  <c r="M22" i="106"/>
  <c r="L22" i="106"/>
  <c r="K22" i="106"/>
  <c r="J22" i="106"/>
  <c r="B16" i="106"/>
  <c r="B2" i="106"/>
  <c r="C8" i="105"/>
  <c r="D5" i="105"/>
  <c r="B33" i="105" s="1"/>
  <c r="H31" i="105"/>
  <c r="G31" i="105"/>
  <c r="F31" i="105"/>
  <c r="E31" i="105"/>
  <c r="M24" i="105"/>
  <c r="L24" i="105"/>
  <c r="K24" i="105"/>
  <c r="D39" i="105" s="1"/>
  <c r="J24" i="105"/>
  <c r="D38" i="105" s="1"/>
  <c r="B17" i="105"/>
  <c r="B2" i="105"/>
  <c r="C8" i="104"/>
  <c r="D5" i="104"/>
  <c r="H31" i="104"/>
  <c r="G31" i="104"/>
  <c r="F31" i="104"/>
  <c r="E31" i="104"/>
  <c r="M24" i="104"/>
  <c r="D41" i="104" s="1"/>
  <c r="L24" i="104"/>
  <c r="D40" i="104" s="1"/>
  <c r="K24" i="104"/>
  <c r="D39" i="104"/>
  <c r="J24" i="104"/>
  <c r="D38" i="104" s="1"/>
  <c r="B17" i="104"/>
  <c r="B2" i="104"/>
  <c r="C8" i="103"/>
  <c r="D5" i="103"/>
  <c r="B33" i="103"/>
  <c r="B23" i="103"/>
  <c r="H31" i="103"/>
  <c r="G31" i="103"/>
  <c r="E31" i="103"/>
  <c r="M24" i="103"/>
  <c r="D41" i="103"/>
  <c r="L24" i="103"/>
  <c r="D40" i="103"/>
  <c r="K24" i="103"/>
  <c r="D39" i="103"/>
  <c r="J24" i="103"/>
  <c r="D38" i="103"/>
  <c r="B17" i="103"/>
  <c r="B2" i="103"/>
  <c r="C8" i="102"/>
  <c r="D5" i="102"/>
  <c r="H31" i="102"/>
  <c r="G31" i="102"/>
  <c r="F31" i="102"/>
  <c r="E31" i="102"/>
  <c r="M24" i="102"/>
  <c r="D41" i="102"/>
  <c r="L24" i="102"/>
  <c r="D40" i="102"/>
  <c r="K24" i="102"/>
  <c r="D39" i="102"/>
  <c r="J24" i="102"/>
  <c r="D38" i="102"/>
  <c r="B17" i="102"/>
  <c r="B2" i="102"/>
  <c r="C8" i="101"/>
  <c r="D5" i="101"/>
  <c r="B32" i="101" s="1"/>
  <c r="H30" i="101"/>
  <c r="G30" i="101"/>
  <c r="F30" i="101"/>
  <c r="E30" i="101"/>
  <c r="M23" i="101"/>
  <c r="D40" i="101"/>
  <c r="L23" i="101"/>
  <c r="D39" i="101"/>
  <c r="K23" i="101"/>
  <c r="D38" i="101"/>
  <c r="J23" i="101"/>
  <c r="D37" i="101"/>
  <c r="B16" i="101"/>
  <c r="B2" i="101"/>
  <c r="G28" i="71"/>
  <c r="C8" i="100"/>
  <c r="D5" i="100"/>
  <c r="H33" i="100"/>
  <c r="G33" i="100"/>
  <c r="F33" i="100"/>
  <c r="E33" i="100"/>
  <c r="F27" i="100"/>
  <c r="C29" i="100" s="1"/>
  <c r="M26" i="100"/>
  <c r="L26" i="100"/>
  <c r="K26" i="100"/>
  <c r="J26" i="100"/>
  <c r="M23" i="100"/>
  <c r="L23" i="100"/>
  <c r="K23" i="100"/>
  <c r="D41" i="100" s="1"/>
  <c r="J23" i="100"/>
  <c r="D40" i="100" s="1"/>
  <c r="B16" i="100"/>
  <c r="B2" i="100"/>
  <c r="C8" i="99"/>
  <c r="D5" i="99"/>
  <c r="B32" i="99" s="1"/>
  <c r="H30" i="99"/>
  <c r="G30" i="99"/>
  <c r="F30" i="99"/>
  <c r="E30" i="99"/>
  <c r="M23" i="99"/>
  <c r="D40" i="99" s="1"/>
  <c r="L23" i="99"/>
  <c r="D39" i="99"/>
  <c r="K23" i="99"/>
  <c r="D38" i="99" s="1"/>
  <c r="J23" i="99"/>
  <c r="D37" i="99" s="1"/>
  <c r="B16" i="99"/>
  <c r="B2" i="99"/>
  <c r="J24" i="98"/>
  <c r="K24" i="98"/>
  <c r="L24" i="98"/>
  <c r="M24" i="98"/>
  <c r="J25" i="98"/>
  <c r="K25" i="98"/>
  <c r="L25" i="98"/>
  <c r="M25" i="98"/>
  <c r="J26" i="98"/>
  <c r="K26" i="98"/>
  <c r="L26" i="98"/>
  <c r="M26" i="98"/>
  <c r="J27" i="98"/>
  <c r="K27" i="98"/>
  <c r="L27" i="98"/>
  <c r="M27" i="98"/>
  <c r="C8" i="98"/>
  <c r="D5" i="98"/>
  <c r="H34" i="98"/>
  <c r="G34" i="98"/>
  <c r="F34" i="98"/>
  <c r="E34" i="98"/>
  <c r="M23" i="98"/>
  <c r="L23" i="98"/>
  <c r="K23" i="98"/>
  <c r="J23" i="98"/>
  <c r="B16" i="98"/>
  <c r="B2" i="98"/>
  <c r="J25" i="97"/>
  <c r="K25" i="97"/>
  <c r="L25" i="97"/>
  <c r="M25" i="97"/>
  <c r="C8" i="97"/>
  <c r="D5" i="97"/>
  <c r="B34" i="97"/>
  <c r="H32" i="97"/>
  <c r="G32" i="97"/>
  <c r="F32" i="97"/>
  <c r="E32" i="97"/>
  <c r="M24" i="97"/>
  <c r="D41" i="97"/>
  <c r="L24" i="97"/>
  <c r="K24" i="97"/>
  <c r="J24" i="97"/>
  <c r="D38" i="97"/>
  <c r="B17" i="97"/>
  <c r="B2" i="97"/>
  <c r="C8" i="96"/>
  <c r="D5" i="95"/>
  <c r="B24" i="95" s="1"/>
  <c r="D5" i="96"/>
  <c r="H31" i="96"/>
  <c r="G31" i="96"/>
  <c r="F31" i="96"/>
  <c r="E31" i="96"/>
  <c r="M24" i="96"/>
  <c r="D40" i="96" s="1"/>
  <c r="L24" i="96"/>
  <c r="D39" i="96"/>
  <c r="K24" i="96"/>
  <c r="D38" i="96" s="1"/>
  <c r="J24" i="96"/>
  <c r="D37" i="96" s="1"/>
  <c r="B17" i="96"/>
  <c r="B2" i="96"/>
  <c r="C8" i="95"/>
  <c r="H32" i="95"/>
  <c r="G32" i="95"/>
  <c r="F32" i="95"/>
  <c r="E32" i="95"/>
  <c r="M25" i="95"/>
  <c r="D41" i="95" s="1"/>
  <c r="L25" i="95"/>
  <c r="D40" i="95" s="1"/>
  <c r="K25" i="95"/>
  <c r="D39" i="95"/>
  <c r="J25" i="95"/>
  <c r="D38" i="95" s="1"/>
  <c r="B17" i="95"/>
  <c r="B2" i="95"/>
  <c r="C8" i="94"/>
  <c r="D5" i="94"/>
  <c r="B32" i="94"/>
  <c r="H30" i="94"/>
  <c r="G30" i="94"/>
  <c r="F30" i="94"/>
  <c r="E30" i="94"/>
  <c r="M23" i="94"/>
  <c r="D40" i="94" s="1"/>
  <c r="L23" i="94"/>
  <c r="D39" i="94"/>
  <c r="K23" i="94"/>
  <c r="D38" i="94"/>
  <c r="J23" i="94"/>
  <c r="D37" i="94" s="1"/>
  <c r="B16" i="94"/>
  <c r="B2" i="94"/>
  <c r="C8" i="93"/>
  <c r="D5" i="93"/>
  <c r="H29" i="93"/>
  <c r="G29" i="93"/>
  <c r="F29" i="93"/>
  <c r="E29" i="93"/>
  <c r="M22" i="93"/>
  <c r="L22" i="93"/>
  <c r="D38" i="93" s="1"/>
  <c r="K22" i="93"/>
  <c r="J22" i="93"/>
  <c r="D36" i="93" s="1"/>
  <c r="B16" i="93"/>
  <c r="B2" i="93"/>
  <c r="J29" i="92"/>
  <c r="K29" i="92"/>
  <c r="L29" i="92"/>
  <c r="M29" i="92"/>
  <c r="J28" i="92"/>
  <c r="J25" i="92"/>
  <c r="J26" i="92"/>
  <c r="J27" i="92"/>
  <c r="J30" i="92"/>
  <c r="K28" i="92"/>
  <c r="L28" i="92"/>
  <c r="M28" i="92"/>
  <c r="C8" i="92"/>
  <c r="D5" i="92"/>
  <c r="B24" i="92" s="1"/>
  <c r="H37" i="92"/>
  <c r="G37" i="92"/>
  <c r="F37" i="92"/>
  <c r="E37" i="92"/>
  <c r="M30" i="92"/>
  <c r="L30" i="92"/>
  <c r="K30" i="92"/>
  <c r="M27" i="92"/>
  <c r="L27" i="92"/>
  <c r="K27" i="92"/>
  <c r="M26" i="92"/>
  <c r="L26" i="92"/>
  <c r="K26" i="92"/>
  <c r="M25" i="92"/>
  <c r="L25" i="92"/>
  <c r="K25" i="92"/>
  <c r="B17" i="92"/>
  <c r="B2" i="92"/>
  <c r="J28" i="91"/>
  <c r="K28" i="91"/>
  <c r="L28" i="91"/>
  <c r="M28" i="91"/>
  <c r="J29" i="91"/>
  <c r="K29" i="91"/>
  <c r="L29" i="91"/>
  <c r="M29" i="91"/>
  <c r="J30" i="91"/>
  <c r="K30" i="91"/>
  <c r="L30" i="91"/>
  <c r="M30" i="91"/>
  <c r="J31" i="91"/>
  <c r="K31" i="91"/>
  <c r="L31" i="91"/>
  <c r="M31" i="91"/>
  <c r="J32" i="91"/>
  <c r="K32" i="91"/>
  <c r="L32" i="91"/>
  <c r="M32" i="91"/>
  <c r="J33" i="91"/>
  <c r="K33" i="91"/>
  <c r="L33" i="91"/>
  <c r="M33" i="91"/>
  <c r="J34" i="91"/>
  <c r="K34" i="91"/>
  <c r="L34" i="91"/>
  <c r="M34" i="91"/>
  <c r="J35" i="91"/>
  <c r="K35" i="91"/>
  <c r="L35" i="91"/>
  <c r="M35" i="91"/>
  <c r="J36" i="91"/>
  <c r="K36" i="91"/>
  <c r="L36" i="91"/>
  <c r="M36" i="91"/>
  <c r="C8" i="91"/>
  <c r="D5" i="91"/>
  <c r="B53" i="91" s="1"/>
  <c r="H51" i="91"/>
  <c r="G51" i="91"/>
  <c r="F51" i="91"/>
  <c r="E51" i="91"/>
  <c r="F45" i="91"/>
  <c r="C47" i="91" s="1"/>
  <c r="H53" i="91" s="1"/>
  <c r="M2" i="91" s="1"/>
  <c r="M44" i="91"/>
  <c r="L44" i="91"/>
  <c r="K44" i="91"/>
  <c r="J44" i="91"/>
  <c r="M42" i="91"/>
  <c r="L42" i="91"/>
  <c r="K42" i="91"/>
  <c r="J42" i="91"/>
  <c r="M41" i="91"/>
  <c r="L41" i="91"/>
  <c r="K41" i="91"/>
  <c r="J41" i="91"/>
  <c r="M40" i="91"/>
  <c r="L40" i="91"/>
  <c r="K40" i="91"/>
  <c r="J40" i="91"/>
  <c r="M39" i="91"/>
  <c r="L39" i="91"/>
  <c r="K39" i="91"/>
  <c r="J39" i="91"/>
  <c r="M38" i="91"/>
  <c r="L38" i="91"/>
  <c r="K38" i="91"/>
  <c r="J38" i="91"/>
  <c r="M37" i="91"/>
  <c r="L37" i="91"/>
  <c r="K37" i="91"/>
  <c r="J37" i="91"/>
  <c r="M27" i="91"/>
  <c r="L27" i="91"/>
  <c r="K27" i="91"/>
  <c r="J27" i="91"/>
  <c r="M26" i="91"/>
  <c r="L26" i="91"/>
  <c r="K26" i="91"/>
  <c r="J26" i="91"/>
  <c r="B16" i="91"/>
  <c r="B2" i="91"/>
  <c r="J25" i="90"/>
  <c r="K25" i="90"/>
  <c r="L25" i="90"/>
  <c r="M25" i="90"/>
  <c r="J26" i="90"/>
  <c r="K26" i="90"/>
  <c r="L26" i="90"/>
  <c r="M26" i="90"/>
  <c r="J27" i="90"/>
  <c r="K27" i="90"/>
  <c r="L27" i="90"/>
  <c r="M27" i="90"/>
  <c r="C8" i="90"/>
  <c r="D5" i="90"/>
  <c r="H35" i="90"/>
  <c r="G35" i="90"/>
  <c r="F35" i="90"/>
  <c r="E35" i="90"/>
  <c r="M28" i="90"/>
  <c r="L28" i="90"/>
  <c r="K28" i="90"/>
  <c r="J28" i="90"/>
  <c r="M24" i="90"/>
  <c r="L24" i="90"/>
  <c r="K24" i="90"/>
  <c r="J24" i="90"/>
  <c r="B17" i="90"/>
  <c r="B2" i="90"/>
  <c r="C8" i="88"/>
  <c r="D5" i="88"/>
  <c r="B24" i="88" s="1"/>
  <c r="H32" i="88"/>
  <c r="G32" i="88"/>
  <c r="F32" i="88"/>
  <c r="E32" i="88"/>
  <c r="M25" i="88"/>
  <c r="D42" i="88" s="1"/>
  <c r="L25" i="88"/>
  <c r="K25" i="88"/>
  <c r="D40" i="88" s="1"/>
  <c r="J25" i="88"/>
  <c r="B18" i="88"/>
  <c r="B2" i="88"/>
  <c r="J27" i="87"/>
  <c r="K27" i="87"/>
  <c r="L27" i="87"/>
  <c r="M27" i="87"/>
  <c r="J28" i="87"/>
  <c r="K28" i="87"/>
  <c r="L28" i="87"/>
  <c r="M28" i="87"/>
  <c r="J29" i="87"/>
  <c r="K29" i="87"/>
  <c r="L29" i="87"/>
  <c r="M29" i="87"/>
  <c r="J30" i="87"/>
  <c r="K30" i="87"/>
  <c r="L30" i="87"/>
  <c r="M30" i="87"/>
  <c r="J31" i="87"/>
  <c r="K31" i="87"/>
  <c r="L31" i="87"/>
  <c r="M31" i="87"/>
  <c r="J32" i="87"/>
  <c r="K32" i="87"/>
  <c r="L32" i="87"/>
  <c r="M32" i="87"/>
  <c r="J33" i="87"/>
  <c r="K33" i="87"/>
  <c r="L33" i="87"/>
  <c r="M33" i="87"/>
  <c r="J34" i="87"/>
  <c r="K34" i="87"/>
  <c r="L34" i="87"/>
  <c r="M34" i="87"/>
  <c r="J35" i="87"/>
  <c r="K35" i="87"/>
  <c r="L35" i="87"/>
  <c r="M35" i="87"/>
  <c r="J36" i="87"/>
  <c r="K36" i="87"/>
  <c r="L36" i="87"/>
  <c r="M36" i="87"/>
  <c r="J37" i="87"/>
  <c r="K37" i="87"/>
  <c r="L37" i="87"/>
  <c r="M37" i="87"/>
  <c r="J38" i="87"/>
  <c r="K38" i="87"/>
  <c r="L38" i="87"/>
  <c r="M38" i="87"/>
  <c r="J39" i="87"/>
  <c r="K39" i="87"/>
  <c r="L39" i="87"/>
  <c r="M39" i="87"/>
  <c r="C8" i="87"/>
  <c r="D5" i="87"/>
  <c r="B48" i="87" s="1"/>
  <c r="H46" i="87"/>
  <c r="G46" i="87"/>
  <c r="F46" i="87"/>
  <c r="E46" i="87"/>
  <c r="M26" i="87"/>
  <c r="L26" i="87"/>
  <c r="K26" i="87"/>
  <c r="J26" i="87"/>
  <c r="M25" i="87"/>
  <c r="L25" i="87"/>
  <c r="K25" i="87"/>
  <c r="J25" i="87"/>
  <c r="M24" i="87"/>
  <c r="D56" i="87" s="1"/>
  <c r="L24" i="87"/>
  <c r="D55" i="87"/>
  <c r="K24" i="87"/>
  <c r="J24" i="87"/>
  <c r="B16" i="87"/>
  <c r="B2" i="87"/>
  <c r="C8" i="84"/>
  <c r="C8" i="85"/>
  <c r="D5" i="85"/>
  <c r="B34" i="85" s="1"/>
  <c r="H32" i="85"/>
  <c r="G32" i="85"/>
  <c r="F32" i="85"/>
  <c r="E32" i="85"/>
  <c r="M25" i="85"/>
  <c r="D42" i="85" s="1"/>
  <c r="L25" i="85"/>
  <c r="D41" i="85" s="1"/>
  <c r="K25" i="85"/>
  <c r="D40" i="85"/>
  <c r="J25" i="85"/>
  <c r="D39" i="85" s="1"/>
  <c r="B18" i="85"/>
  <c r="B2" i="85"/>
  <c r="D5" i="84"/>
  <c r="H30" i="84"/>
  <c r="G30" i="84"/>
  <c r="F30" i="84"/>
  <c r="E30" i="84"/>
  <c r="M23" i="84"/>
  <c r="D40" i="84" s="1"/>
  <c r="L23" i="84"/>
  <c r="D39" i="84" s="1"/>
  <c r="K23" i="84"/>
  <c r="D38" i="84"/>
  <c r="J23" i="84"/>
  <c r="D37" i="84" s="1"/>
  <c r="B16" i="84"/>
  <c r="B2" i="84"/>
  <c r="C8" i="83"/>
  <c r="D5" i="83"/>
  <c r="H31" i="83"/>
  <c r="G31" i="83"/>
  <c r="F31" i="83"/>
  <c r="E31" i="83"/>
  <c r="M24" i="83"/>
  <c r="L24" i="83"/>
  <c r="K24" i="83"/>
  <c r="J24" i="83"/>
  <c r="J23" i="83"/>
  <c r="M23" i="83"/>
  <c r="L23" i="83"/>
  <c r="K23" i="83"/>
  <c r="B16" i="83"/>
  <c r="B2" i="83"/>
  <c r="J24" i="82"/>
  <c r="K24" i="82"/>
  <c r="L24" i="82"/>
  <c r="M24" i="82"/>
  <c r="J25" i="82"/>
  <c r="K25" i="82"/>
  <c r="L25" i="82"/>
  <c r="M25" i="82"/>
  <c r="J26" i="82"/>
  <c r="K26" i="82"/>
  <c r="L26" i="82"/>
  <c r="M26" i="82"/>
  <c r="J27" i="82"/>
  <c r="K27" i="82"/>
  <c r="L27" i="82"/>
  <c r="M27" i="82"/>
  <c r="C8" i="82"/>
  <c r="E5" i="82"/>
  <c r="B22" i="82"/>
  <c r="H34" i="82"/>
  <c r="G34" i="82"/>
  <c r="F34" i="82"/>
  <c r="E34" i="82"/>
  <c r="M23" i="82"/>
  <c r="L23" i="82"/>
  <c r="K23" i="82"/>
  <c r="J23" i="82"/>
  <c r="B16" i="82"/>
  <c r="B2" i="82"/>
  <c r="J24" i="81"/>
  <c r="J23" i="81"/>
  <c r="K24" i="81"/>
  <c r="L24" i="81"/>
  <c r="L23" i="81"/>
  <c r="M24" i="81"/>
  <c r="K23" i="81"/>
  <c r="M23" i="81"/>
  <c r="C8" i="81"/>
  <c r="E5" i="81"/>
  <c r="B33" i="81"/>
  <c r="H31" i="81"/>
  <c r="G31" i="81"/>
  <c r="F31" i="81"/>
  <c r="E31" i="81"/>
  <c r="B16" i="81"/>
  <c r="B2" i="81"/>
  <c r="C8" i="80"/>
  <c r="E5" i="80"/>
  <c r="B22" i="80" s="1"/>
  <c r="H30" i="80"/>
  <c r="G30" i="80"/>
  <c r="F30" i="80"/>
  <c r="E30" i="80"/>
  <c r="E17" i="143"/>
  <c r="B16" i="80"/>
  <c r="B2" i="80"/>
  <c r="C8" i="79"/>
  <c r="C9" i="79" s="1"/>
  <c r="E5" i="79"/>
  <c r="B36" i="79" s="1"/>
  <c r="H34" i="79"/>
  <c r="G34" i="79"/>
  <c r="F34" i="79"/>
  <c r="E34" i="79"/>
  <c r="B16" i="79"/>
  <c r="B2" i="79"/>
  <c r="B16" i="2"/>
  <c r="B2" i="2"/>
  <c r="H30" i="2"/>
  <c r="G30" i="2"/>
  <c r="F30" i="2"/>
  <c r="E30" i="2"/>
  <c r="E5" i="2"/>
  <c r="B32" i="2"/>
  <c r="B21" i="2"/>
  <c r="G26" i="71"/>
  <c r="G27" i="71"/>
  <c r="G29" i="71"/>
  <c r="G30" i="71"/>
  <c r="G31" i="71"/>
  <c r="G32" i="71"/>
  <c r="G33" i="71"/>
  <c r="G34" i="71"/>
  <c r="G35" i="71"/>
  <c r="G36" i="71"/>
  <c r="G37" i="71"/>
  <c r="G38" i="71"/>
  <c r="G39" i="71"/>
  <c r="G40" i="71"/>
  <c r="G41" i="71"/>
  <c r="G42" i="71"/>
  <c r="G25" i="71"/>
  <c r="C8" i="2"/>
  <c r="C9" i="2" s="1"/>
  <c r="I14" i="1"/>
  <c r="B22" i="99"/>
  <c r="B31" i="121"/>
  <c r="F26" i="97"/>
  <c r="C28" i="97" s="1"/>
  <c r="H34" i="97" s="1"/>
  <c r="M2" i="97"/>
  <c r="D62" i="145"/>
  <c r="G23" i="1"/>
  <c r="E26" i="143" s="1"/>
  <c r="G24" i="1"/>
  <c r="E27" i="143" s="1"/>
  <c r="B22" i="118"/>
  <c r="B21" i="114"/>
  <c r="B31" i="116"/>
  <c r="B21" i="116"/>
  <c r="B32" i="138"/>
  <c r="B33" i="145"/>
  <c r="B18" i="143"/>
  <c r="G25" i="1"/>
  <c r="E28" i="143" s="1"/>
  <c r="B42" i="145"/>
  <c r="B10" i="145" s="1"/>
  <c r="B34" i="88"/>
  <c r="C37" i="145"/>
  <c r="B22" i="133"/>
  <c r="D66" i="145"/>
  <c r="C32" i="145"/>
  <c r="B22" i="81"/>
  <c r="C66" i="145"/>
  <c r="D32" i="145"/>
  <c r="B32" i="135"/>
  <c r="D40" i="108"/>
  <c r="D41" i="98"/>
  <c r="B22" i="129"/>
  <c r="B23" i="87"/>
  <c r="B22" i="101"/>
  <c r="B23" i="141"/>
  <c r="B33" i="141"/>
  <c r="B32" i="80"/>
  <c r="B23" i="96"/>
  <c r="B33" i="96"/>
  <c r="B22" i="130"/>
  <c r="B33" i="130"/>
  <c r="B23" i="97"/>
  <c r="B21" i="106"/>
  <c r="B32" i="106"/>
  <c r="B31" i="110"/>
  <c r="B21" i="110"/>
  <c r="B22" i="126"/>
  <c r="B34" i="126"/>
  <c r="D44" i="118"/>
  <c r="B22" i="136"/>
  <c r="B32" i="136"/>
  <c r="C62" i="145"/>
  <c r="C81" i="145"/>
  <c r="D39" i="97"/>
  <c r="B22" i="105"/>
  <c r="H14" i="1"/>
  <c r="B21" i="119"/>
  <c r="B31" i="119"/>
  <c r="M2" i="139"/>
  <c r="D27" i="143"/>
  <c r="G27" i="143" s="1"/>
  <c r="H24" i="1"/>
  <c r="B36" i="82"/>
  <c r="D70" i="145"/>
  <c r="D37" i="145"/>
  <c r="B37" i="90"/>
  <c r="B23" i="90"/>
  <c r="D43" i="90"/>
  <c r="B22" i="83"/>
  <c r="B33" i="83"/>
  <c r="B22" i="94"/>
  <c r="B38" i="143"/>
  <c r="Q136" i="1"/>
  <c r="B22" i="153"/>
  <c r="B78" i="145"/>
  <c r="D42" i="90"/>
  <c r="D41" i="105"/>
  <c r="D40" i="106"/>
  <c r="D41" i="83"/>
  <c r="D40" i="105"/>
  <c r="D58" i="91"/>
  <c r="D39" i="106"/>
  <c r="D45" i="115"/>
  <c r="D46" i="118"/>
  <c r="D38" i="83"/>
  <c r="D38" i="128"/>
  <c r="D40" i="130"/>
  <c r="D45" i="118"/>
  <c r="D43" i="98"/>
  <c r="D44" i="98"/>
  <c r="D37" i="106"/>
  <c r="D47" i="118"/>
  <c r="D42" i="126"/>
  <c r="D39" i="130"/>
  <c r="D40" i="123"/>
  <c r="D46" i="115"/>
  <c r="D40" i="83"/>
  <c r="D44" i="115"/>
  <c r="U40" i="142"/>
  <c r="U41" i="142" s="1"/>
  <c r="B25" i="91"/>
  <c r="D60" i="91"/>
  <c r="F25" i="81"/>
  <c r="C27" i="81" s="1"/>
  <c r="H33" i="81" s="1"/>
  <c r="M2" i="81" s="1"/>
  <c r="L41" i="142"/>
  <c r="F17" i="73"/>
  <c r="G17" i="73" s="1"/>
  <c r="E17" i="73"/>
  <c r="D12" i="73"/>
  <c r="E12" i="73"/>
  <c r="G12" i="73" s="1"/>
  <c r="G19" i="73"/>
  <c r="E19" i="73"/>
  <c r="D44" i="124"/>
  <c r="H34" i="88"/>
  <c r="G27" i="1" s="1"/>
  <c r="T40" i="142"/>
  <c r="T41" i="142" s="1"/>
  <c r="D14" i="73"/>
  <c r="G14" i="73"/>
  <c r="D41" i="153"/>
  <c r="B22" i="132"/>
  <c r="B32" i="132"/>
  <c r="H34" i="95"/>
  <c r="M2" i="95" s="1"/>
  <c r="B32" i="84"/>
  <c r="B22" i="84"/>
  <c r="B22" i="128"/>
  <c r="B33" i="128"/>
  <c r="B35" i="100"/>
  <c r="B22" i="100"/>
  <c r="O14" i="1"/>
  <c r="M14" i="1"/>
  <c r="D40" i="128"/>
  <c r="W40" i="142"/>
  <c r="W41" i="142" s="1"/>
  <c r="O40" i="142"/>
  <c r="O41" i="142" s="1"/>
  <c r="E28" i="79"/>
  <c r="C30" i="79" s="1"/>
  <c r="H36" i="79" s="1"/>
  <c r="D43" i="124"/>
  <c r="M2" i="88"/>
  <c r="E30" i="143"/>
  <c r="G30" i="143" s="1"/>
  <c r="M2" i="137"/>
  <c r="B34" i="95"/>
  <c r="D42" i="98"/>
  <c r="D42" i="104"/>
  <c r="E40" i="104" s="1"/>
  <c r="E39" i="104"/>
  <c r="H39" i="118"/>
  <c r="M2" i="118" s="1"/>
  <c r="B22" i="98"/>
  <c r="B36" i="98"/>
  <c r="H35" i="100"/>
  <c r="M2" i="100" s="1"/>
  <c r="D39" i="108"/>
  <c r="B21" i="111"/>
  <c r="B31" i="111"/>
  <c r="D40" i="114"/>
  <c r="E36" i="114" s="1"/>
  <c r="D41" i="132"/>
  <c r="B22" i="137"/>
  <c r="B32" i="137"/>
  <c r="D41" i="139"/>
  <c r="E39" i="139" s="1"/>
  <c r="E37" i="139"/>
  <c r="H33" i="103"/>
  <c r="M2" i="103" s="1"/>
  <c r="H31" i="109"/>
  <c r="M2" i="109" s="1"/>
  <c r="D42" i="102"/>
  <c r="H36" i="98"/>
  <c r="M2" i="98"/>
  <c r="M2" i="104"/>
  <c r="E41" i="104"/>
  <c r="H31" i="116"/>
  <c r="M2" i="116" s="1"/>
  <c r="H31" i="123"/>
  <c r="M2" i="123" s="1"/>
  <c r="M2" i="135"/>
  <c r="M2" i="125"/>
  <c r="E38" i="104"/>
  <c r="D67" i="145"/>
  <c r="B24" i="85"/>
  <c r="H31" i="114"/>
  <c r="M2" i="114"/>
  <c r="B21" i="117"/>
  <c r="B31" i="117"/>
  <c r="H31" i="111"/>
  <c r="M2" i="111" s="1"/>
  <c r="D54" i="87"/>
  <c r="D44" i="90"/>
  <c r="D41" i="101"/>
  <c r="E39" i="101" s="1"/>
  <c r="B33" i="102"/>
  <c r="B23" i="102"/>
  <c r="H33" i="141"/>
  <c r="M2" i="141" s="1"/>
  <c r="B40" i="145"/>
  <c r="B8" i="145"/>
  <c r="B42" i="143"/>
  <c r="D39" i="83"/>
  <c r="D38" i="127"/>
  <c r="B22" i="131"/>
  <c r="B32" i="131"/>
  <c r="B40" i="134"/>
  <c r="B22" i="134"/>
  <c r="D17" i="145"/>
  <c r="H26" i="1"/>
  <c r="B41" i="145"/>
  <c r="B9" i="145" s="1"/>
  <c r="B53" i="143"/>
  <c r="D39" i="128"/>
  <c r="D42" i="128" s="1"/>
  <c r="E22" i="2"/>
  <c r="E23" i="2"/>
  <c r="D26" i="2"/>
  <c r="H32" i="2" s="1"/>
  <c r="G12" i="1" s="1"/>
  <c r="D42" i="127"/>
  <c r="E40" i="101"/>
  <c r="E38" i="101"/>
  <c r="E38" i="139"/>
  <c r="E40" i="139"/>
  <c r="E37" i="101"/>
  <c r="G45" i="1"/>
  <c r="E106" i="1"/>
  <c r="G106" i="1"/>
  <c r="D106" i="1"/>
  <c r="F106" i="1"/>
  <c r="E53" i="1"/>
  <c r="Z38" i="142" l="1"/>
  <c r="Z37" i="142"/>
  <c r="D39" i="126"/>
  <c r="D41" i="136"/>
  <c r="D40" i="119"/>
  <c r="E36" i="119" s="1"/>
  <c r="D41" i="135"/>
  <c r="E37" i="135" s="1"/>
  <c r="D41" i="140"/>
  <c r="E39" i="140" s="1"/>
  <c r="E37" i="140"/>
  <c r="D49" i="134"/>
  <c r="E46" i="134" s="1"/>
  <c r="E45" i="134"/>
  <c r="D41" i="138"/>
  <c r="E39" i="138"/>
  <c r="E38" i="140"/>
  <c r="E37" i="132"/>
  <c r="E40" i="132"/>
  <c r="H32" i="132"/>
  <c r="M2" i="132" s="1"/>
  <c r="E39" i="132"/>
  <c r="E38" i="132"/>
  <c r="D43" i="85"/>
  <c r="E42" i="85" s="1"/>
  <c r="D41" i="94"/>
  <c r="E38" i="94" s="1"/>
  <c r="D42" i="130"/>
  <c r="E38" i="130" s="1"/>
  <c r="E39" i="135"/>
  <c r="E47" i="134"/>
  <c r="E41" i="139"/>
  <c r="C40" i="139" s="1"/>
  <c r="J6" i="139" s="1"/>
  <c r="E40" i="130"/>
  <c r="E36" i="111"/>
  <c r="E37" i="111"/>
  <c r="E38" i="111"/>
  <c r="M2" i="87"/>
  <c r="G26" i="1"/>
  <c r="E29" i="143" s="1"/>
  <c r="A21" i="1"/>
  <c r="C9" i="81" s="1"/>
  <c r="C9" i="80"/>
  <c r="H32" i="153"/>
  <c r="M2" i="153" s="1"/>
  <c r="E39" i="153"/>
  <c r="E38" i="153"/>
  <c r="E37" i="153"/>
  <c r="E40" i="153"/>
  <c r="G15" i="73"/>
  <c r="D43" i="100"/>
  <c r="D40" i="121"/>
  <c r="E36" i="121" s="1"/>
  <c r="Z39" i="142"/>
  <c r="G10" i="73"/>
  <c r="B39" i="92"/>
  <c r="D38" i="106"/>
  <c r="D41" i="106" s="1"/>
  <c r="D40" i="122"/>
  <c r="D43" i="133"/>
  <c r="D41" i="137"/>
  <c r="E38" i="137" s="1"/>
  <c r="D41" i="108"/>
  <c r="D42" i="122"/>
  <c r="D41" i="124"/>
  <c r="D44" i="125"/>
  <c r="D40" i="126"/>
  <c r="D42" i="103"/>
  <c r="E40" i="103" s="1"/>
  <c r="G13" i="1"/>
  <c r="K13" i="1" s="1"/>
  <c r="Q40" i="142"/>
  <c r="Q41" i="142" s="1"/>
  <c r="P40" i="142"/>
  <c r="M40" i="142"/>
  <c r="D46" i="125"/>
  <c r="E42" i="125" s="1"/>
  <c r="E43" i="125"/>
  <c r="E44" i="125"/>
  <c r="E45" i="125"/>
  <c r="D46" i="92"/>
  <c r="D44" i="92"/>
  <c r="D43" i="92"/>
  <c r="F31" i="92"/>
  <c r="C33" i="92" s="1"/>
  <c r="H39" i="92" s="1"/>
  <c r="M2" i="92" s="1"/>
  <c r="D43" i="82"/>
  <c r="D40" i="116"/>
  <c r="E36" i="116" s="1"/>
  <c r="E39" i="106"/>
  <c r="E40" i="106"/>
  <c r="M2" i="106"/>
  <c r="E38" i="106"/>
  <c r="E37" i="106"/>
  <c r="D42" i="105"/>
  <c r="E40" i="105" s="1"/>
  <c r="G28" i="143"/>
  <c r="H25" i="1"/>
  <c r="H23" i="1"/>
  <c r="G26" i="143"/>
  <c r="L48" i="142"/>
  <c r="D42" i="81"/>
  <c r="D43" i="81"/>
  <c r="D40" i="81"/>
  <c r="D16" i="143"/>
  <c r="H13" i="1"/>
  <c r="B23" i="79"/>
  <c r="E41" i="132"/>
  <c r="E42" i="104"/>
  <c r="G20" i="73"/>
  <c r="D45" i="98"/>
  <c r="E41" i="98" s="1"/>
  <c r="Q14" i="1"/>
  <c r="D41" i="81"/>
  <c r="D41" i="82"/>
  <c r="D41" i="84"/>
  <c r="E40" i="84" s="1"/>
  <c r="D53" i="87"/>
  <c r="D59" i="91"/>
  <c r="D40" i="97"/>
  <c r="D42" i="97" s="1"/>
  <c r="D42" i="100"/>
  <c r="D40" i="113"/>
  <c r="E39" i="113" s="1"/>
  <c r="D41" i="122"/>
  <c r="D42" i="124"/>
  <c r="D45" i="124" s="1"/>
  <c r="E41" i="124" s="1"/>
  <c r="F15" i="1"/>
  <c r="H15" i="1" s="1"/>
  <c r="H12" i="1"/>
  <c r="J40" i="142"/>
  <c r="G17" i="143"/>
  <c r="D15" i="143"/>
  <c r="F107" i="1"/>
  <c r="H106" i="1"/>
  <c r="G107" i="1"/>
  <c r="D107" i="1"/>
  <c r="H32" i="94"/>
  <c r="M2" i="94" s="1"/>
  <c r="E37" i="94"/>
  <c r="E40" i="94"/>
  <c r="H33" i="102"/>
  <c r="M2" i="102" s="1"/>
  <c r="E38" i="102"/>
  <c r="E41" i="102"/>
  <c r="E39" i="102"/>
  <c r="E40" i="102"/>
  <c r="H32" i="136"/>
  <c r="M2" i="136" s="1"/>
  <c r="E38" i="136"/>
  <c r="E37" i="136"/>
  <c r="E40" i="136"/>
  <c r="C37" i="139"/>
  <c r="C39" i="139"/>
  <c r="J5" i="139" s="1"/>
  <c r="E41" i="101"/>
  <c r="C37" i="101"/>
  <c r="E41" i="128"/>
  <c r="E38" i="128"/>
  <c r="C38" i="139"/>
  <c r="J4" i="139" s="1"/>
  <c r="G15" i="1"/>
  <c r="M12" i="1"/>
  <c r="I12" i="1"/>
  <c r="K12" i="1"/>
  <c r="E15" i="143"/>
  <c r="O12" i="1"/>
  <c r="E46" i="129"/>
  <c r="E43" i="129"/>
  <c r="E44" i="129"/>
  <c r="E45" i="129"/>
  <c r="E39" i="128"/>
  <c r="E38" i="110"/>
  <c r="E39" i="110"/>
  <c r="E36" i="110"/>
  <c r="E36" i="123"/>
  <c r="E38" i="123"/>
  <c r="E37" i="123"/>
  <c r="E39" i="123"/>
  <c r="C38" i="132"/>
  <c r="J4" i="132" s="1"/>
  <c r="E41" i="127"/>
  <c r="E40" i="127"/>
  <c r="E39" i="109"/>
  <c r="E37" i="109"/>
  <c r="D41" i="96"/>
  <c r="D41" i="99"/>
  <c r="E40" i="99"/>
  <c r="D40" i="107"/>
  <c r="E39" i="107" s="1"/>
  <c r="E38" i="107"/>
  <c r="B21" i="108"/>
  <c r="B34" i="108"/>
  <c r="E36" i="109"/>
  <c r="E37" i="110"/>
  <c r="E38" i="113"/>
  <c r="E36" i="113"/>
  <c r="D40" i="117"/>
  <c r="E37" i="117" s="1"/>
  <c r="E39" i="117"/>
  <c r="D44" i="122"/>
  <c r="B31" i="123"/>
  <c r="B21" i="123"/>
  <c r="B36" i="124"/>
  <c r="B22" i="124"/>
  <c r="D41" i="131"/>
  <c r="E40" i="131" s="1"/>
  <c r="E37" i="131"/>
  <c r="E39" i="136"/>
  <c r="E37" i="138"/>
  <c r="H34" i="126"/>
  <c r="M2" i="126" s="1"/>
  <c r="H33" i="127"/>
  <c r="M2" i="127" s="1"/>
  <c r="E39" i="127"/>
  <c r="E38" i="127"/>
  <c r="E38" i="114"/>
  <c r="E37" i="114"/>
  <c r="E39" i="114"/>
  <c r="C39" i="104"/>
  <c r="J4" i="104" s="1"/>
  <c r="C41" i="104"/>
  <c r="J6" i="104" s="1"/>
  <c r="I13" i="1"/>
  <c r="E16" i="143"/>
  <c r="G16" i="143" s="1"/>
  <c r="E40" i="128"/>
  <c r="P41" i="142"/>
  <c r="E44" i="98"/>
  <c r="D48" i="118"/>
  <c r="E47" i="118" s="1"/>
  <c r="D42" i="95"/>
  <c r="E38" i="95"/>
  <c r="H31" i="119"/>
  <c r="M2" i="119" s="1"/>
  <c r="E37" i="119"/>
  <c r="E38" i="119"/>
  <c r="E39" i="119"/>
  <c r="H31" i="121"/>
  <c r="M2" i="121" s="1"/>
  <c r="E38" i="121"/>
  <c r="E39" i="121"/>
  <c r="E37" i="121"/>
  <c r="E39" i="103"/>
  <c r="E38" i="103"/>
  <c r="E41" i="103"/>
  <c r="D42" i="83"/>
  <c r="E40" i="83"/>
  <c r="E38" i="84"/>
  <c r="E39" i="84"/>
  <c r="E37" i="84"/>
  <c r="H31" i="107"/>
  <c r="M2" i="107" s="1"/>
  <c r="D42" i="141"/>
  <c r="H38" i="115"/>
  <c r="M2" i="115" s="1"/>
  <c r="E39" i="111"/>
  <c r="B21" i="113"/>
  <c r="B31" i="113"/>
  <c r="D43" i="115"/>
  <c r="D61" i="91"/>
  <c r="E37" i="96"/>
  <c r="D45" i="90"/>
  <c r="F29" i="90"/>
  <c r="C31" i="90" s="1"/>
  <c r="D45" i="92"/>
  <c r="C17" i="145"/>
  <c r="E17" i="145" s="1"/>
  <c r="D29" i="143"/>
  <c r="G29" i="143" s="1"/>
  <c r="F28" i="82"/>
  <c r="C30" i="82" s="1"/>
  <c r="H36" i="82" s="1"/>
  <c r="D42" i="82"/>
  <c r="A22" i="1"/>
  <c r="C9" i="82" s="1"/>
  <c r="D18" i="143"/>
  <c r="C33" i="145"/>
  <c r="B31" i="93"/>
  <c r="B21" i="93"/>
  <c r="B21" i="107"/>
  <c r="B31" i="107"/>
  <c r="B22" i="122"/>
  <c r="B35" i="122"/>
  <c r="D43" i="126"/>
  <c r="H34" i="133"/>
  <c r="M2" i="133" s="1"/>
  <c r="D44" i="82"/>
  <c r="B33" i="104"/>
  <c r="B23" i="104"/>
  <c r="B22" i="140"/>
  <c r="B32" i="140"/>
  <c r="D39" i="93"/>
  <c r="D37" i="93"/>
  <c r="B22" i="127"/>
  <c r="D42" i="108"/>
  <c r="D39" i="88"/>
  <c r="D41" i="88"/>
  <c r="G102" i="1"/>
  <c r="M41" i="142" l="1"/>
  <c r="Z40" i="142"/>
  <c r="E41" i="153"/>
  <c r="C37" i="132"/>
  <c r="C39" i="153"/>
  <c r="J5" i="153" s="1"/>
  <c r="E41" i="106"/>
  <c r="C38" i="106" s="1"/>
  <c r="J4" i="106" s="1"/>
  <c r="E40" i="137"/>
  <c r="E37" i="137"/>
  <c r="E39" i="137"/>
  <c r="E36" i="107"/>
  <c r="K15" i="1"/>
  <c r="E40" i="133"/>
  <c r="E42" i="133"/>
  <c r="E39" i="133"/>
  <c r="E48" i="134"/>
  <c r="E49" i="134" s="1"/>
  <c r="C46" i="134" s="1"/>
  <c r="J4" i="134" s="1"/>
  <c r="E39" i="116"/>
  <c r="E41" i="85"/>
  <c r="M13" i="1"/>
  <c r="E39" i="94"/>
  <c r="G22" i="73"/>
  <c r="G28" i="73" s="1"/>
  <c r="G30" i="73" s="1"/>
  <c r="E40" i="140"/>
  <c r="E38" i="138"/>
  <c r="E40" i="138"/>
  <c r="E37" i="113"/>
  <c r="A22" i="145"/>
  <c r="E37" i="116"/>
  <c r="E40" i="85"/>
  <c r="E41" i="133"/>
  <c r="E40" i="111"/>
  <c r="C37" i="111" s="1"/>
  <c r="J4" i="111" s="1"/>
  <c r="E39" i="85"/>
  <c r="O13" i="1"/>
  <c r="Q13" i="1" s="1"/>
  <c r="E38" i="116"/>
  <c r="E38" i="105"/>
  <c r="E40" i="135"/>
  <c r="E41" i="130"/>
  <c r="E39" i="130"/>
  <c r="E38" i="135"/>
  <c r="E46" i="125"/>
  <c r="E37" i="107"/>
  <c r="C40" i="106"/>
  <c r="J6" i="106" s="1"/>
  <c r="E41" i="105"/>
  <c r="E39" i="105"/>
  <c r="D44" i="81"/>
  <c r="E40" i="81" s="1"/>
  <c r="E42" i="126"/>
  <c r="E40" i="126"/>
  <c r="E39" i="126"/>
  <c r="E40" i="119"/>
  <c r="C36" i="119" s="1"/>
  <c r="E40" i="114"/>
  <c r="C36" i="114" s="1"/>
  <c r="D44" i="100"/>
  <c r="E42" i="100" s="1"/>
  <c r="E40" i="100"/>
  <c r="E41" i="100"/>
  <c r="D57" i="87"/>
  <c r="E53" i="87" s="1"/>
  <c r="E42" i="98"/>
  <c r="E43" i="98"/>
  <c r="C40" i="104"/>
  <c r="J5" i="104" s="1"/>
  <c r="C38" i="104"/>
  <c r="J3" i="104" s="1"/>
  <c r="C40" i="132"/>
  <c r="J6" i="132" s="1"/>
  <c r="C39" i="132"/>
  <c r="J5" i="132" s="1"/>
  <c r="G15" i="143"/>
  <c r="J3" i="119"/>
  <c r="J3" i="114"/>
  <c r="D47" i="92"/>
  <c r="E45" i="92" s="1"/>
  <c r="E38" i="141"/>
  <c r="E39" i="141"/>
  <c r="E41" i="141"/>
  <c r="E40" i="121"/>
  <c r="C36" i="121" s="1"/>
  <c r="E40" i="122"/>
  <c r="E43" i="122"/>
  <c r="E41" i="122"/>
  <c r="M2" i="82"/>
  <c r="G22" i="1"/>
  <c r="H37" i="90"/>
  <c r="M2" i="90" s="1"/>
  <c r="D47" i="115"/>
  <c r="E43" i="115" s="1"/>
  <c r="C39" i="119"/>
  <c r="J6" i="119" s="1"/>
  <c r="E42" i="127"/>
  <c r="C40" i="127" s="1"/>
  <c r="J5" i="127" s="1"/>
  <c r="E41" i="126"/>
  <c r="E43" i="126" s="1"/>
  <c r="E42" i="124"/>
  <c r="E43" i="124"/>
  <c r="E44" i="124"/>
  <c r="E42" i="122"/>
  <c r="E37" i="99"/>
  <c r="E39" i="99"/>
  <c r="E38" i="99"/>
  <c r="E40" i="96"/>
  <c r="E38" i="96"/>
  <c r="C41" i="127"/>
  <c r="J6" i="127" s="1"/>
  <c r="E40" i="123"/>
  <c r="C36" i="123" s="1"/>
  <c r="I15" i="1"/>
  <c r="Q12" i="1"/>
  <c r="C38" i="101"/>
  <c r="J4" i="101" s="1"/>
  <c r="C40" i="101"/>
  <c r="J6" i="101" s="1"/>
  <c r="C39" i="101"/>
  <c r="J5" i="101" s="1"/>
  <c r="J3" i="139"/>
  <c r="C41" i="139"/>
  <c r="E41" i="136"/>
  <c r="C40" i="136" s="1"/>
  <c r="J6" i="136" s="1"/>
  <c r="D62" i="91"/>
  <c r="C39" i="136"/>
  <c r="J5" i="136" s="1"/>
  <c r="E39" i="97"/>
  <c r="E40" i="97"/>
  <c r="J3" i="101"/>
  <c r="D40" i="93"/>
  <c r="E39" i="93" s="1"/>
  <c r="A23" i="1"/>
  <c r="C38" i="119"/>
  <c r="J5" i="119" s="1"/>
  <c r="E41" i="95"/>
  <c r="E40" i="95"/>
  <c r="E39" i="95"/>
  <c r="E45" i="118"/>
  <c r="E46" i="118"/>
  <c r="E44" i="118"/>
  <c r="C39" i="114"/>
  <c r="J6" i="114" s="1"/>
  <c r="E41" i="97"/>
  <c r="E39" i="96"/>
  <c r="E40" i="110"/>
  <c r="C39" i="110" s="1"/>
  <c r="J6" i="110" s="1"/>
  <c r="C36" i="110"/>
  <c r="O15" i="1"/>
  <c r="M15" i="1"/>
  <c r="C37" i="153"/>
  <c r="C38" i="153"/>
  <c r="J4" i="153" s="1"/>
  <c r="C40" i="153"/>
  <c r="J6" i="153" s="1"/>
  <c r="E41" i="94"/>
  <c r="C39" i="94" s="1"/>
  <c r="J5" i="94" s="1"/>
  <c r="C37" i="94"/>
  <c r="D43" i="108"/>
  <c r="C38" i="114"/>
  <c r="J5" i="114" s="1"/>
  <c r="E40" i="113"/>
  <c r="C39" i="113" s="1"/>
  <c r="J6" i="113" s="1"/>
  <c r="D43" i="88"/>
  <c r="E41" i="88" s="1"/>
  <c r="E40" i="141"/>
  <c r="E41" i="84"/>
  <c r="C40" i="84" s="1"/>
  <c r="J6" i="84" s="1"/>
  <c r="C37" i="84"/>
  <c r="E41" i="83"/>
  <c r="E39" i="83"/>
  <c r="E38" i="83"/>
  <c r="E42" i="103"/>
  <c r="C37" i="119"/>
  <c r="J4" i="119" s="1"/>
  <c r="E45" i="98"/>
  <c r="C37" i="114"/>
  <c r="J4" i="114" s="1"/>
  <c r="E39" i="131"/>
  <c r="E38" i="131"/>
  <c r="E36" i="117"/>
  <c r="E38" i="117"/>
  <c r="E40" i="109"/>
  <c r="C36" i="109"/>
  <c r="E38" i="97"/>
  <c r="J3" i="132"/>
  <c r="C41" i="132"/>
  <c r="E47" i="129"/>
  <c r="C46" i="129" s="1"/>
  <c r="J6" i="129" s="1"/>
  <c r="D33" i="145"/>
  <c r="E33" i="145" s="1"/>
  <c r="E18" i="143"/>
  <c r="G18" i="143" s="1"/>
  <c r="E42" i="128"/>
  <c r="C38" i="128" s="1"/>
  <c r="D46" i="90"/>
  <c r="D45" i="82"/>
  <c r="E42" i="82" s="1"/>
  <c r="E42" i="102"/>
  <c r="C38" i="102"/>
  <c r="G21" i="1"/>
  <c r="N102" i="1"/>
  <c r="D21" i="1"/>
  <c r="F21" i="1"/>
  <c r="L102" i="1"/>
  <c r="E21" i="1"/>
  <c r="P102" i="1"/>
  <c r="D28" i="1" l="1"/>
  <c r="E41" i="96"/>
  <c r="C37" i="96" s="1"/>
  <c r="E41" i="135"/>
  <c r="E41" i="138"/>
  <c r="C37" i="138" s="1"/>
  <c r="E40" i="116"/>
  <c r="E43" i="133"/>
  <c r="C41" i="133" s="1"/>
  <c r="J5" i="133" s="1"/>
  <c r="E43" i="85"/>
  <c r="C39" i="85" s="1"/>
  <c r="H21" i="1"/>
  <c r="D22" i="145"/>
  <c r="F28" i="1"/>
  <c r="E89" i="1"/>
  <c r="M102" i="1"/>
  <c r="E24" i="143"/>
  <c r="C22" i="145"/>
  <c r="D24" i="143"/>
  <c r="C38" i="135"/>
  <c r="J4" i="135" s="1"/>
  <c r="C39" i="135"/>
  <c r="J5" i="135" s="1"/>
  <c r="C37" i="135"/>
  <c r="J3" i="135" s="1"/>
  <c r="C40" i="135"/>
  <c r="J6" i="135" s="1"/>
  <c r="C36" i="116"/>
  <c r="J3" i="116" s="1"/>
  <c r="C38" i="116"/>
  <c r="J5" i="116" s="1"/>
  <c r="C39" i="116"/>
  <c r="J6" i="116" s="1"/>
  <c r="C37" i="116"/>
  <c r="J4" i="116" s="1"/>
  <c r="C36" i="111"/>
  <c r="C37" i="123"/>
  <c r="J4" i="123" s="1"/>
  <c r="C39" i="111"/>
  <c r="J6" i="111" s="1"/>
  <c r="C39" i="106"/>
  <c r="J5" i="106" s="1"/>
  <c r="C48" i="134"/>
  <c r="J6" i="134" s="1"/>
  <c r="C45" i="134"/>
  <c r="C42" i="104"/>
  <c r="E40" i="107"/>
  <c r="E41" i="140"/>
  <c r="C47" i="134"/>
  <c r="J5" i="134" s="1"/>
  <c r="C39" i="123"/>
  <c r="J6" i="123" s="1"/>
  <c r="C38" i="123"/>
  <c r="J5" i="123" s="1"/>
  <c r="E41" i="137"/>
  <c r="C40" i="85"/>
  <c r="J4" i="85" s="1"/>
  <c r="C37" i="106"/>
  <c r="C41" i="106" s="1"/>
  <c r="C38" i="111"/>
  <c r="J5" i="111" s="1"/>
  <c r="E42" i="105"/>
  <c r="C39" i="105" s="1"/>
  <c r="E43" i="100"/>
  <c r="E42" i="130"/>
  <c r="C41" i="130" s="1"/>
  <c r="J6" i="130" s="1"/>
  <c r="C39" i="130"/>
  <c r="J4" i="130" s="1"/>
  <c r="C45" i="125"/>
  <c r="J6" i="125" s="1"/>
  <c r="C44" i="125"/>
  <c r="J5" i="125" s="1"/>
  <c r="C43" i="125"/>
  <c r="J4" i="125" s="1"/>
  <c r="C42" i="125"/>
  <c r="C46" i="125" s="1"/>
  <c r="C38" i="121"/>
  <c r="J5" i="121" s="1"/>
  <c r="C39" i="121"/>
  <c r="J6" i="121" s="1"/>
  <c r="C37" i="121"/>
  <c r="J4" i="121" s="1"/>
  <c r="C38" i="107"/>
  <c r="J5" i="107" s="1"/>
  <c r="C39" i="107"/>
  <c r="J6" i="107" s="1"/>
  <c r="C38" i="105"/>
  <c r="C41" i="105"/>
  <c r="J6" i="105" s="1"/>
  <c r="C40" i="105"/>
  <c r="J5" i="105" s="1"/>
  <c r="E44" i="82"/>
  <c r="E43" i="82"/>
  <c r="E41" i="82"/>
  <c r="E42" i="81"/>
  <c r="E41" i="81"/>
  <c r="E43" i="81"/>
  <c r="C39" i="102"/>
  <c r="J4" i="102" s="1"/>
  <c r="C40" i="102"/>
  <c r="J5" i="102" s="1"/>
  <c r="E43" i="90"/>
  <c r="E44" i="90"/>
  <c r="E45" i="90"/>
  <c r="C38" i="109"/>
  <c r="J5" i="109" s="1"/>
  <c r="C39" i="109"/>
  <c r="J6" i="109" s="1"/>
  <c r="C44" i="98"/>
  <c r="J6" i="98" s="1"/>
  <c r="C41" i="98"/>
  <c r="J3" i="98" s="1"/>
  <c r="C39" i="103"/>
  <c r="J4" i="103" s="1"/>
  <c r="C38" i="103"/>
  <c r="J3" i="103" s="1"/>
  <c r="C37" i="110"/>
  <c r="J4" i="110" s="1"/>
  <c r="C38" i="110"/>
  <c r="J5" i="110" s="1"/>
  <c r="C42" i="85"/>
  <c r="J6" i="85" s="1"/>
  <c r="C41" i="85"/>
  <c r="J5" i="85" s="1"/>
  <c r="C36" i="107"/>
  <c r="J3" i="107" s="1"/>
  <c r="C37" i="107"/>
  <c r="J4" i="107" s="1"/>
  <c r="Q15" i="1"/>
  <c r="E56" i="87"/>
  <c r="E54" i="87"/>
  <c r="E55" i="87"/>
  <c r="E44" i="100"/>
  <c r="O102" i="1"/>
  <c r="K102" i="1"/>
  <c r="C40" i="126"/>
  <c r="J4" i="126" s="1"/>
  <c r="C42" i="126"/>
  <c r="J6" i="126" s="1"/>
  <c r="C39" i="126"/>
  <c r="J3" i="128"/>
  <c r="J3" i="96"/>
  <c r="J3" i="123"/>
  <c r="C40" i="123"/>
  <c r="J3" i="84"/>
  <c r="C39" i="96"/>
  <c r="J5" i="96" s="1"/>
  <c r="J3" i="109"/>
  <c r="C39" i="138"/>
  <c r="J5" i="138" s="1"/>
  <c r="C38" i="138"/>
  <c r="J4" i="138" s="1"/>
  <c r="C40" i="138"/>
  <c r="J6" i="138" s="1"/>
  <c r="C41" i="128"/>
  <c r="J6" i="128" s="1"/>
  <c r="C36" i="113"/>
  <c r="E48" i="118"/>
  <c r="C47" i="118" s="1"/>
  <c r="J6" i="118" s="1"/>
  <c r="C37" i="113"/>
  <c r="J4" i="113" s="1"/>
  <c r="A24" i="1"/>
  <c r="C9" i="83"/>
  <c r="C41" i="101"/>
  <c r="J7" i="101" s="1"/>
  <c r="C37" i="136"/>
  <c r="C38" i="127"/>
  <c r="E42" i="90"/>
  <c r="C40" i="111"/>
  <c r="J3" i="111"/>
  <c r="C40" i="119"/>
  <c r="J3" i="138"/>
  <c r="J3" i="94"/>
  <c r="J3" i="85"/>
  <c r="E36" i="93"/>
  <c r="E38" i="93"/>
  <c r="C41" i="126"/>
  <c r="J5" i="126" s="1"/>
  <c r="E25" i="143"/>
  <c r="G25" i="143" s="1"/>
  <c r="G28" i="1"/>
  <c r="J3" i="121"/>
  <c r="J3" i="102"/>
  <c r="E40" i="117"/>
  <c r="E42" i="83"/>
  <c r="C40" i="83" s="1"/>
  <c r="J5" i="83" s="1"/>
  <c r="C39" i="84"/>
  <c r="J5" i="84" s="1"/>
  <c r="J3" i="110"/>
  <c r="C38" i="94"/>
  <c r="J4" i="94" s="1"/>
  <c r="C39" i="127"/>
  <c r="J4" i="127" s="1"/>
  <c r="C40" i="128"/>
  <c r="J5" i="128" s="1"/>
  <c r="E40" i="88"/>
  <c r="E42" i="88"/>
  <c r="C39" i="128"/>
  <c r="J4" i="128" s="1"/>
  <c r="E40" i="108"/>
  <c r="E41" i="108"/>
  <c r="E39" i="108"/>
  <c r="C41" i="102"/>
  <c r="J6" i="102" s="1"/>
  <c r="C41" i="103"/>
  <c r="J6" i="103" s="1"/>
  <c r="C40" i="94"/>
  <c r="J6" i="94" s="1"/>
  <c r="C45" i="129"/>
  <c r="J5" i="129" s="1"/>
  <c r="C38" i="96"/>
  <c r="J4" i="96" s="1"/>
  <c r="E41" i="99"/>
  <c r="C37" i="99" s="1"/>
  <c r="C40" i="103"/>
  <c r="J5" i="103" s="1"/>
  <c r="E44" i="122"/>
  <c r="C41" i="122" s="1"/>
  <c r="J4" i="122" s="1"/>
  <c r="E42" i="141"/>
  <c r="C38" i="141" s="1"/>
  <c r="C40" i="114"/>
  <c r="E60" i="91"/>
  <c r="E58" i="91"/>
  <c r="E59" i="91"/>
  <c r="C40" i="133"/>
  <c r="J4" i="133" s="1"/>
  <c r="C39" i="133"/>
  <c r="C42" i="133"/>
  <c r="J6" i="133" s="1"/>
  <c r="C43" i="129"/>
  <c r="E42" i="97"/>
  <c r="C41" i="97" s="1"/>
  <c r="J6" i="97" s="1"/>
  <c r="C38" i="97"/>
  <c r="C43" i="98"/>
  <c r="J5" i="98" s="1"/>
  <c r="C42" i="98"/>
  <c r="J4" i="98" s="1"/>
  <c r="C41" i="83"/>
  <c r="J6" i="83" s="1"/>
  <c r="E39" i="88"/>
  <c r="C37" i="109"/>
  <c r="J4" i="109" s="1"/>
  <c r="E45" i="124"/>
  <c r="C41" i="124" s="1"/>
  <c r="E42" i="108"/>
  <c r="C38" i="136"/>
  <c r="J4" i="136" s="1"/>
  <c r="J3" i="153"/>
  <c r="C41" i="153"/>
  <c r="C44" i="129"/>
  <c r="J4" i="129" s="1"/>
  <c r="E41" i="131"/>
  <c r="C38" i="131" s="1"/>
  <c r="J4" i="131" s="1"/>
  <c r="E37" i="93"/>
  <c r="E61" i="91"/>
  <c r="J3" i="106"/>
  <c r="C40" i="96"/>
  <c r="J6" i="96" s="1"/>
  <c r="C38" i="113"/>
  <c r="J5" i="113" s="1"/>
  <c r="J3" i="105"/>
  <c r="E42" i="95"/>
  <c r="C38" i="84"/>
  <c r="J4" i="84" s="1"/>
  <c r="E45" i="115"/>
  <c r="E44" i="115"/>
  <c r="E46" i="115"/>
  <c r="E43" i="92"/>
  <c r="E46" i="92"/>
  <c r="E44" i="92"/>
  <c r="J102" i="1"/>
  <c r="P23" i="1"/>
  <c r="N23" i="1"/>
  <c r="E44" i="81" l="1"/>
  <c r="C41" i="81" s="1"/>
  <c r="J4" i="81" s="1"/>
  <c r="C38" i="137"/>
  <c r="J4" i="137" s="1"/>
  <c r="C39" i="137"/>
  <c r="J5" i="137" s="1"/>
  <c r="G24" i="143"/>
  <c r="J4" i="105"/>
  <c r="C42" i="105"/>
  <c r="J3" i="134"/>
  <c r="C49" i="134"/>
  <c r="C38" i="130"/>
  <c r="C40" i="130"/>
  <c r="J5" i="130" s="1"/>
  <c r="C43" i="85"/>
  <c r="C40" i="116"/>
  <c r="C37" i="140"/>
  <c r="C39" i="140"/>
  <c r="J5" i="140" s="1"/>
  <c r="C38" i="140"/>
  <c r="J4" i="140" s="1"/>
  <c r="C45" i="118"/>
  <c r="J4" i="118" s="1"/>
  <c r="C40" i="137"/>
  <c r="J6" i="137" s="1"/>
  <c r="C37" i="137"/>
  <c r="C40" i="140"/>
  <c r="J6" i="140" s="1"/>
  <c r="D6" i="145"/>
  <c r="H28" i="1"/>
  <c r="C41" i="135"/>
  <c r="E22" i="145"/>
  <c r="C41" i="138"/>
  <c r="C44" i="118"/>
  <c r="J3" i="118" s="1"/>
  <c r="C40" i="107"/>
  <c r="J7" i="107" s="1"/>
  <c r="C6" i="145"/>
  <c r="D31" i="143"/>
  <c r="C38" i="145"/>
  <c r="C40" i="121"/>
  <c r="C46" i="118"/>
  <c r="J5" i="118" s="1"/>
  <c r="C40" i="110"/>
  <c r="C40" i="81"/>
  <c r="J3" i="81" s="1"/>
  <c r="C38" i="95"/>
  <c r="J3" i="95" s="1"/>
  <c r="C39" i="95"/>
  <c r="J4" i="95" s="1"/>
  <c r="C40" i="95"/>
  <c r="J5" i="95" s="1"/>
  <c r="C41" i="95"/>
  <c r="J6" i="95" s="1"/>
  <c r="C41" i="141"/>
  <c r="J6" i="141" s="1"/>
  <c r="C39" i="141"/>
  <c r="J4" i="141" s="1"/>
  <c r="C40" i="141"/>
  <c r="J5" i="141" s="1"/>
  <c r="C40" i="99"/>
  <c r="J6" i="99" s="1"/>
  <c r="C38" i="99"/>
  <c r="J4" i="99" s="1"/>
  <c r="C43" i="81"/>
  <c r="J6" i="81" s="1"/>
  <c r="C42" i="81"/>
  <c r="J5" i="81" s="1"/>
  <c r="C36" i="117"/>
  <c r="J3" i="117" s="1"/>
  <c r="C38" i="117"/>
  <c r="J5" i="117" s="1"/>
  <c r="C43" i="100"/>
  <c r="J6" i="100" s="1"/>
  <c r="C41" i="100"/>
  <c r="J4" i="100" s="1"/>
  <c r="C40" i="100"/>
  <c r="C42" i="100"/>
  <c r="J5" i="100" s="1"/>
  <c r="E57" i="87"/>
  <c r="M23" i="1"/>
  <c r="I102" i="1"/>
  <c r="Q102" i="1" s="1"/>
  <c r="O23" i="1"/>
  <c r="J3" i="133"/>
  <c r="C43" i="133"/>
  <c r="C44" i="124"/>
  <c r="J6" i="124" s="1"/>
  <c r="J3" i="124"/>
  <c r="J3" i="97"/>
  <c r="J3" i="136"/>
  <c r="C41" i="136"/>
  <c r="C42" i="128"/>
  <c r="D38" i="145"/>
  <c r="E31" i="143"/>
  <c r="C43" i="122"/>
  <c r="J6" i="122" s="1"/>
  <c r="C39" i="99"/>
  <c r="J5" i="99" s="1"/>
  <c r="C42" i="103"/>
  <c r="C41" i="96"/>
  <c r="C43" i="126"/>
  <c r="J3" i="126"/>
  <c r="C42" i="127"/>
  <c r="J3" i="127"/>
  <c r="E47" i="92"/>
  <c r="C45" i="92" s="1"/>
  <c r="J5" i="92" s="1"/>
  <c r="C43" i="124"/>
  <c r="J5" i="124" s="1"/>
  <c r="C40" i="131"/>
  <c r="J6" i="131" s="1"/>
  <c r="C37" i="131"/>
  <c r="C40" i="122"/>
  <c r="J3" i="99"/>
  <c r="C37" i="117"/>
  <c r="C39" i="117"/>
  <c r="J6" i="117" s="1"/>
  <c r="C42" i="122"/>
  <c r="J5" i="122" s="1"/>
  <c r="J3" i="113"/>
  <c r="C40" i="113"/>
  <c r="C41" i="84"/>
  <c r="E47" i="115"/>
  <c r="C43" i="115" s="1"/>
  <c r="J3" i="129"/>
  <c r="C47" i="129"/>
  <c r="J3" i="141"/>
  <c r="C39" i="97"/>
  <c r="J4" i="97" s="1"/>
  <c r="E43" i="108"/>
  <c r="C39" i="108"/>
  <c r="E43" i="88"/>
  <c r="C41" i="88" s="1"/>
  <c r="J5" i="88" s="1"/>
  <c r="C39" i="131"/>
  <c r="J5" i="131" s="1"/>
  <c r="E62" i="91"/>
  <c r="C58" i="91" s="1"/>
  <c r="J3" i="125"/>
  <c r="C41" i="108"/>
  <c r="J5" i="108" s="1"/>
  <c r="C39" i="83"/>
  <c r="J4" i="83" s="1"/>
  <c r="C40" i="97"/>
  <c r="J5" i="97" s="1"/>
  <c r="C38" i="83"/>
  <c r="C42" i="102"/>
  <c r="E40" i="93"/>
  <c r="C41" i="94"/>
  <c r="C45" i="98"/>
  <c r="J7" i="98" s="1"/>
  <c r="E46" i="90"/>
  <c r="A25" i="1"/>
  <c r="C9" i="84"/>
  <c r="C40" i="109"/>
  <c r="C42" i="124"/>
  <c r="J4" i="124" s="1"/>
  <c r="E45" i="82"/>
  <c r="J21" i="1"/>
  <c r="L106" i="1"/>
  <c r="L23" i="1"/>
  <c r="J24" i="1"/>
  <c r="P106" i="1"/>
  <c r="L24" i="1"/>
  <c r="P24" i="1"/>
  <c r="N21" i="1"/>
  <c r="P21" i="1"/>
  <c r="N106" i="1"/>
  <c r="N24" i="1"/>
  <c r="L21" i="1"/>
  <c r="K106" i="1" l="1"/>
  <c r="K107" i="1" s="1"/>
  <c r="K21" i="1"/>
  <c r="M106" i="1"/>
  <c r="J3" i="130"/>
  <c r="C42" i="130"/>
  <c r="J7" i="130" s="1"/>
  <c r="C44" i="115"/>
  <c r="J4" i="115" s="1"/>
  <c r="E6" i="145"/>
  <c r="C42" i="95"/>
  <c r="J3" i="140"/>
  <c r="C41" i="140"/>
  <c r="J3" i="137"/>
  <c r="C41" i="137"/>
  <c r="C46" i="115"/>
  <c r="J6" i="115" s="1"/>
  <c r="G31" i="143"/>
  <c r="C48" i="118"/>
  <c r="J7" i="118" s="1"/>
  <c r="C42" i="141"/>
  <c r="C44" i="81"/>
  <c r="M21" i="1"/>
  <c r="O21" i="1"/>
  <c r="C43" i="82"/>
  <c r="J5" i="82" s="1"/>
  <c r="C44" i="82"/>
  <c r="J6" i="82" s="1"/>
  <c r="C42" i="82"/>
  <c r="J4" i="82" s="1"/>
  <c r="C41" i="82"/>
  <c r="J3" i="82" s="1"/>
  <c r="C39" i="93"/>
  <c r="J6" i="93" s="1"/>
  <c r="C36" i="93"/>
  <c r="J3" i="93" s="1"/>
  <c r="C40" i="108"/>
  <c r="J4" i="108" s="1"/>
  <c r="C42" i="108"/>
  <c r="J6" i="108" s="1"/>
  <c r="J4" i="117"/>
  <c r="C40" i="117"/>
  <c r="C56" i="87"/>
  <c r="J6" i="87" s="1"/>
  <c r="C53" i="87"/>
  <c r="C54" i="87"/>
  <c r="J4" i="87" s="1"/>
  <c r="C55" i="87"/>
  <c r="J5" i="87" s="1"/>
  <c r="J3" i="100"/>
  <c r="C44" i="100"/>
  <c r="E38" i="145"/>
  <c r="I24" i="1"/>
  <c r="I21" i="1"/>
  <c r="K24" i="1"/>
  <c r="O24" i="1"/>
  <c r="M24" i="1"/>
  <c r="K23" i="1"/>
  <c r="J3" i="91"/>
  <c r="C43" i="90"/>
  <c r="J4" i="90" s="1"/>
  <c r="C44" i="90"/>
  <c r="J5" i="90" s="1"/>
  <c r="C45" i="90"/>
  <c r="J6" i="90" s="1"/>
  <c r="J3" i="108"/>
  <c r="C42" i="83"/>
  <c r="J3" i="83"/>
  <c r="C37" i="93"/>
  <c r="J4" i="93" s="1"/>
  <c r="C59" i="91"/>
  <c r="C61" i="91"/>
  <c r="J6" i="91" s="1"/>
  <c r="J3" i="115"/>
  <c r="C44" i="122"/>
  <c r="J3" i="122"/>
  <c r="C43" i="92"/>
  <c r="C42" i="88"/>
  <c r="J6" i="88" s="1"/>
  <c r="C40" i="88"/>
  <c r="J4" i="88" s="1"/>
  <c r="J3" i="131"/>
  <c r="C41" i="131"/>
  <c r="C60" i="91"/>
  <c r="J5" i="91" s="1"/>
  <c r="C38" i="93"/>
  <c r="J5" i="93" s="1"/>
  <c r="C45" i="124"/>
  <c r="J7" i="124" s="1"/>
  <c r="A26" i="1"/>
  <c r="C9" i="85"/>
  <c r="C42" i="90"/>
  <c r="C39" i="88"/>
  <c r="C44" i="92"/>
  <c r="J4" i="92" s="1"/>
  <c r="C41" i="99"/>
  <c r="C46" i="92"/>
  <c r="J6" i="92" s="1"/>
  <c r="C42" i="97"/>
  <c r="C45" i="115"/>
  <c r="J23" i="1"/>
  <c r="J106" i="1"/>
  <c r="J22" i="1"/>
  <c r="L22" i="1"/>
  <c r="P25" i="1"/>
  <c r="N25" i="1"/>
  <c r="N22" i="1"/>
  <c r="J25" i="1"/>
  <c r="P22" i="1"/>
  <c r="L25" i="1"/>
  <c r="I106" i="1" l="1"/>
  <c r="O106" i="1"/>
  <c r="O107" i="1" s="1"/>
  <c r="M107" i="1"/>
  <c r="C43" i="108"/>
  <c r="C45" i="82"/>
  <c r="M22" i="1"/>
  <c r="O22" i="1"/>
  <c r="K22" i="1"/>
  <c r="J5" i="115"/>
  <c r="C47" i="115"/>
  <c r="J4" i="91"/>
  <c r="C62" i="91"/>
  <c r="J7" i="91" s="1"/>
  <c r="J3" i="87"/>
  <c r="C57" i="87"/>
  <c r="I22" i="1"/>
  <c r="M25" i="1"/>
  <c r="I23" i="1"/>
  <c r="Q23" i="1" s="1"/>
  <c r="I25" i="1"/>
  <c r="O25" i="1"/>
  <c r="K25" i="1"/>
  <c r="C40" i="93"/>
  <c r="C46" i="90"/>
  <c r="J7" i="90" s="1"/>
  <c r="J3" i="90"/>
  <c r="Q24" i="1"/>
  <c r="J3" i="92"/>
  <c r="C47" i="92"/>
  <c r="J7" i="92" s="1"/>
  <c r="A27" i="1"/>
  <c r="A17" i="145"/>
  <c r="C9" i="87"/>
  <c r="J3" i="88"/>
  <c r="C43" i="88"/>
  <c r="Q21" i="1"/>
  <c r="P26" i="1"/>
  <c r="L26" i="1"/>
  <c r="J26" i="1"/>
  <c r="N26" i="1"/>
  <c r="Q106" i="1" l="1"/>
  <c r="Q107" i="1" s="1"/>
  <c r="I107" i="1"/>
  <c r="Q22" i="1"/>
  <c r="Q25" i="1"/>
  <c r="M26" i="1"/>
  <c r="I26" i="1"/>
  <c r="O26" i="1"/>
  <c r="K26" i="1"/>
  <c r="C9" i="88"/>
  <c r="A31" i="1"/>
  <c r="A67" i="145"/>
  <c r="J27" i="1"/>
  <c r="P27" i="1"/>
  <c r="N27" i="1"/>
  <c r="L27" i="1"/>
  <c r="I27" i="1" l="1"/>
  <c r="O27" i="1"/>
  <c r="O28" i="1" s="1"/>
  <c r="K27" i="1"/>
  <c r="K28" i="1" s="1"/>
  <c r="M27" i="1"/>
  <c r="M28" i="1" s="1"/>
  <c r="A32" i="1"/>
  <c r="C9" i="90"/>
  <c r="Q26" i="1"/>
  <c r="J31" i="1"/>
  <c r="F31" i="1"/>
  <c r="L31" i="1"/>
  <c r="G31" i="1"/>
  <c r="P31" i="1"/>
  <c r="D31" i="1"/>
  <c r="E31" i="1"/>
  <c r="N31" i="1"/>
  <c r="M31" i="1" l="1"/>
  <c r="O31" i="1"/>
  <c r="I31" i="1"/>
  <c r="E34" i="143"/>
  <c r="K31" i="1"/>
  <c r="H31" i="1"/>
  <c r="D34" i="143"/>
  <c r="A33" i="1"/>
  <c r="C9" i="91"/>
  <c r="Q27" i="1"/>
  <c r="Q28" i="1" s="1"/>
  <c r="I28" i="1"/>
  <c r="N32" i="1"/>
  <c r="J32" i="1"/>
  <c r="E32" i="1"/>
  <c r="L32" i="1"/>
  <c r="D32" i="1"/>
  <c r="G32" i="1"/>
  <c r="P32" i="1"/>
  <c r="F32" i="1"/>
  <c r="G34" i="143" l="1"/>
  <c r="H32" i="1"/>
  <c r="K32" i="1"/>
  <c r="I32" i="1"/>
  <c r="M32" i="1"/>
  <c r="E35" i="143"/>
  <c r="O32" i="1"/>
  <c r="D35" i="143"/>
  <c r="Q31" i="1"/>
  <c r="A34" i="1"/>
  <c r="C9" i="92"/>
  <c r="P33" i="1"/>
  <c r="G33" i="1"/>
  <c r="E33" i="1"/>
  <c r="J33" i="1"/>
  <c r="N33" i="1"/>
  <c r="D33" i="1"/>
  <c r="F33" i="1"/>
  <c r="L33" i="1"/>
  <c r="Q32" i="1" l="1"/>
  <c r="G35" i="143"/>
  <c r="H33" i="1"/>
  <c r="D36" i="143"/>
  <c r="E36" i="143"/>
  <c r="I33" i="1"/>
  <c r="O33" i="1"/>
  <c r="M33" i="1"/>
  <c r="K33" i="1"/>
  <c r="C9" i="93"/>
  <c r="A38" i="1"/>
  <c r="N34" i="1"/>
  <c r="D34" i="1"/>
  <c r="L34" i="1"/>
  <c r="P34" i="1"/>
  <c r="J34" i="1"/>
  <c r="E34" i="1"/>
  <c r="F34" i="1"/>
  <c r="G34" i="1"/>
  <c r="K34" i="1" l="1"/>
  <c r="K35" i="1" s="1"/>
  <c r="I34" i="1"/>
  <c r="M34" i="1"/>
  <c r="M35" i="1" s="1"/>
  <c r="E37" i="143"/>
  <c r="O34" i="1"/>
  <c r="O35" i="1" s="1"/>
  <c r="G35" i="1"/>
  <c r="D37" i="143"/>
  <c r="D35" i="1"/>
  <c r="H34" i="1"/>
  <c r="F35" i="1"/>
  <c r="Q33" i="1"/>
  <c r="A42" i="1"/>
  <c r="A63" i="145"/>
  <c r="C9" i="94"/>
  <c r="G36" i="143"/>
  <c r="E38" i="1"/>
  <c r="G38" i="1"/>
  <c r="D38" i="1"/>
  <c r="P38" i="1"/>
  <c r="N38" i="1"/>
  <c r="L38" i="1"/>
  <c r="J38" i="1"/>
  <c r="F38" i="1"/>
  <c r="G37" i="143" l="1"/>
  <c r="D39" i="1"/>
  <c r="C63" i="145"/>
  <c r="D41" i="143"/>
  <c r="I38" i="1"/>
  <c r="D63" i="145"/>
  <c r="O38" i="1"/>
  <c r="O39" i="1" s="1"/>
  <c r="E41" i="143"/>
  <c r="K38" i="1"/>
  <c r="K39" i="1" s="1"/>
  <c r="G39" i="1"/>
  <c r="M38" i="1"/>
  <c r="M39" i="1" s="1"/>
  <c r="H38" i="1"/>
  <c r="F39" i="1"/>
  <c r="D38" i="143"/>
  <c r="C39" i="145"/>
  <c r="C7" i="145"/>
  <c r="C9" i="95"/>
  <c r="A24" i="145"/>
  <c r="A43" i="1"/>
  <c r="D7" i="145"/>
  <c r="H35" i="1"/>
  <c r="D39" i="145"/>
  <c r="E38" i="143"/>
  <c r="Q34" i="1"/>
  <c r="Q35" i="1" s="1"/>
  <c r="I35" i="1"/>
  <c r="F42" i="1"/>
  <c r="P42" i="1"/>
  <c r="D42" i="1"/>
  <c r="E42" i="1"/>
  <c r="L42" i="1"/>
  <c r="G42" i="1"/>
  <c r="J42" i="1"/>
  <c r="N42" i="1"/>
  <c r="G41" i="143" l="1"/>
  <c r="G38" i="143"/>
  <c r="D24" i="145"/>
  <c r="H42" i="1"/>
  <c r="O42" i="1"/>
  <c r="M42" i="1"/>
  <c r="E45" i="143"/>
  <c r="K42" i="1"/>
  <c r="I42" i="1"/>
  <c r="C24" i="145"/>
  <c r="D45" i="143"/>
  <c r="H39" i="1"/>
  <c r="D8" i="145"/>
  <c r="I39" i="1"/>
  <c r="Q38" i="1"/>
  <c r="Q39" i="1" s="1"/>
  <c r="E7" i="145"/>
  <c r="E39" i="145"/>
  <c r="A18" i="145"/>
  <c r="C9" i="96"/>
  <c r="A44" i="1"/>
  <c r="E42" i="143"/>
  <c r="D40" i="145"/>
  <c r="E63" i="145"/>
  <c r="D42" i="143"/>
  <c r="C8" i="145"/>
  <c r="C40" i="145"/>
  <c r="J43" i="1"/>
  <c r="P43" i="1"/>
  <c r="D43" i="1"/>
  <c r="G43" i="1"/>
  <c r="N43" i="1"/>
  <c r="F43" i="1"/>
  <c r="L43" i="1"/>
  <c r="C18" i="145" l="1"/>
  <c r="D46" i="143"/>
  <c r="H43" i="1"/>
  <c r="D18" i="145"/>
  <c r="M43" i="1"/>
  <c r="I43" i="1"/>
  <c r="O43" i="1"/>
  <c r="E46" i="143"/>
  <c r="K43" i="1"/>
  <c r="Q42" i="1"/>
  <c r="E40" i="145"/>
  <c r="A45" i="1"/>
  <c r="C9" i="97"/>
  <c r="G42" i="143"/>
  <c r="E8" i="145"/>
  <c r="G45" i="143"/>
  <c r="E24" i="145"/>
  <c r="F44" i="1"/>
  <c r="L44" i="1"/>
  <c r="P44" i="1"/>
  <c r="G44" i="1"/>
  <c r="N44" i="1"/>
  <c r="D44" i="1"/>
  <c r="J44" i="1"/>
  <c r="G46" i="143" l="1"/>
  <c r="E18" i="145"/>
  <c r="Q43" i="1"/>
  <c r="E47" i="143"/>
  <c r="I44" i="1"/>
  <c r="M44" i="1"/>
  <c r="O44" i="1"/>
  <c r="K44" i="1"/>
  <c r="H44" i="1"/>
  <c r="D47" i="143"/>
  <c r="A46" i="1"/>
  <c r="C9" i="98"/>
  <c r="N45" i="1"/>
  <c r="P45" i="1"/>
  <c r="L45" i="1"/>
  <c r="J45" i="1"/>
  <c r="D45" i="1"/>
  <c r="F45" i="1"/>
  <c r="O45" i="1" l="1"/>
  <c r="M45" i="1"/>
  <c r="I45" i="1"/>
  <c r="E48" i="143"/>
  <c r="K45" i="1"/>
  <c r="D48" i="143"/>
  <c r="H45" i="1"/>
  <c r="A47" i="1"/>
  <c r="C9" i="99"/>
  <c r="Q44" i="1"/>
  <c r="G47" i="143"/>
  <c r="J46" i="1"/>
  <c r="G46" i="1"/>
  <c r="N46" i="1"/>
  <c r="E46" i="1"/>
  <c r="D46" i="1"/>
  <c r="F46" i="1"/>
  <c r="L46" i="1"/>
  <c r="P46" i="1"/>
  <c r="G48" i="143" l="1"/>
  <c r="Q45" i="1"/>
  <c r="D49" i="143"/>
  <c r="H46" i="1"/>
  <c r="O46" i="1"/>
  <c r="I46" i="1"/>
  <c r="M46" i="1"/>
  <c r="K46" i="1"/>
  <c r="E49" i="143"/>
  <c r="C9" i="100"/>
  <c r="A48" i="1"/>
  <c r="L47" i="1"/>
  <c r="J47" i="1"/>
  <c r="D47" i="1"/>
  <c r="G47" i="1"/>
  <c r="N47" i="1"/>
  <c r="F47" i="1"/>
  <c r="P47" i="1"/>
  <c r="G49" i="143" l="1"/>
  <c r="K47" i="1"/>
  <c r="O47" i="1"/>
  <c r="E50" i="143"/>
  <c r="I47" i="1"/>
  <c r="M47" i="1"/>
  <c r="H47" i="1"/>
  <c r="D50" i="143"/>
  <c r="C9" i="101"/>
  <c r="A49" i="1"/>
  <c r="Q46" i="1"/>
  <c r="F48" i="1"/>
  <c r="J48" i="1"/>
  <c r="D48" i="1"/>
  <c r="N48" i="1"/>
  <c r="L48" i="1"/>
  <c r="G48" i="1"/>
  <c r="P48" i="1"/>
  <c r="Q47" i="1" l="1"/>
  <c r="D51" i="143"/>
  <c r="H48" i="1"/>
  <c r="O48" i="1"/>
  <c r="M48" i="1"/>
  <c r="I48" i="1"/>
  <c r="E51" i="143"/>
  <c r="K48" i="1"/>
  <c r="G50" i="143"/>
  <c r="C9" i="102"/>
  <c r="A53" i="1"/>
  <c r="P49" i="1"/>
  <c r="N49" i="1"/>
  <c r="D49" i="1"/>
  <c r="L49" i="1"/>
  <c r="E49" i="1"/>
  <c r="J49" i="1"/>
  <c r="G49" i="1"/>
  <c r="F49" i="1"/>
  <c r="G51" i="143" l="1"/>
  <c r="D52" i="143"/>
  <c r="D50" i="1"/>
  <c r="O49" i="1"/>
  <c r="O50" i="1" s="1"/>
  <c r="K49" i="1"/>
  <c r="K50" i="1" s="1"/>
  <c r="E52" i="143"/>
  <c r="M49" i="1"/>
  <c r="M50" i="1" s="1"/>
  <c r="I49" i="1"/>
  <c r="G50" i="1"/>
  <c r="H49" i="1"/>
  <c r="F50" i="1"/>
  <c r="A54" i="1"/>
  <c r="A71" i="145"/>
  <c r="C9" i="103"/>
  <c r="Q48" i="1"/>
  <c r="N53" i="1"/>
  <c r="F53" i="1"/>
  <c r="P53" i="1"/>
  <c r="J53" i="1"/>
  <c r="D53" i="1"/>
  <c r="L53" i="1"/>
  <c r="G52" i="143" l="1"/>
  <c r="H53" i="1"/>
  <c r="K53" i="1"/>
  <c r="O53" i="1"/>
  <c r="D71" i="145"/>
  <c r="M53" i="1"/>
  <c r="I53" i="1"/>
  <c r="E56" i="143"/>
  <c r="C71" i="145"/>
  <c r="D56" i="143"/>
  <c r="E53" i="143"/>
  <c r="D41" i="145"/>
  <c r="Q49" i="1"/>
  <c r="Q50" i="1" s="1"/>
  <c r="I50" i="1"/>
  <c r="D9" i="145"/>
  <c r="H50" i="1"/>
  <c r="C41" i="145"/>
  <c r="D53" i="143"/>
  <c r="C9" i="145"/>
  <c r="A72" i="145"/>
  <c r="C9" i="104"/>
  <c r="A55" i="1"/>
  <c r="F54" i="1"/>
  <c r="N54" i="1"/>
  <c r="P54" i="1"/>
  <c r="L54" i="1"/>
  <c r="J54" i="1"/>
  <c r="D54" i="1"/>
  <c r="G54" i="1"/>
  <c r="C72" i="145" l="1"/>
  <c r="D57" i="143"/>
  <c r="K54" i="1"/>
  <c r="D72" i="145"/>
  <c r="M54" i="1"/>
  <c r="E57" i="143"/>
  <c r="O54" i="1"/>
  <c r="I54" i="1"/>
  <c r="H54" i="1"/>
  <c r="Q53" i="1"/>
  <c r="E41" i="145"/>
  <c r="A56" i="1"/>
  <c r="A73" i="145"/>
  <c r="C9" i="141"/>
  <c r="A23" i="145"/>
  <c r="E9" i="145"/>
  <c r="G53" i="143"/>
  <c r="G56" i="143"/>
  <c r="E71" i="145"/>
  <c r="E55" i="1"/>
  <c r="D55" i="1"/>
  <c r="F55" i="1"/>
  <c r="N55" i="1"/>
  <c r="L55" i="1"/>
  <c r="G55" i="1"/>
  <c r="P55" i="1"/>
  <c r="J55" i="1"/>
  <c r="G57" i="143" l="1"/>
  <c r="E72" i="145"/>
  <c r="H55" i="1"/>
  <c r="D23" i="145"/>
  <c r="C23" i="145"/>
  <c r="C73" i="145"/>
  <c r="D58" i="143"/>
  <c r="M55" i="1"/>
  <c r="D73" i="145"/>
  <c r="O55" i="1"/>
  <c r="I55" i="1"/>
  <c r="K55" i="1"/>
  <c r="E58" i="143"/>
  <c r="A57" i="1"/>
  <c r="A74" i="145"/>
  <c r="C9" i="105"/>
  <c r="Q54" i="1"/>
  <c r="E56" i="1"/>
  <c r="N56" i="1"/>
  <c r="P56" i="1"/>
  <c r="L56" i="1"/>
  <c r="D56" i="1"/>
  <c r="J56" i="1"/>
  <c r="K56" i="1" l="1"/>
  <c r="O56" i="1"/>
  <c r="M56" i="1"/>
  <c r="I56" i="1"/>
  <c r="E59" i="143"/>
  <c r="D74" i="145"/>
  <c r="C74" i="145"/>
  <c r="D59" i="143"/>
  <c r="H56" i="1"/>
  <c r="Q55" i="1"/>
  <c r="A58" i="1"/>
  <c r="C9" i="106"/>
  <c r="A75" i="145"/>
  <c r="E23" i="145"/>
  <c r="G58" i="143"/>
  <c r="E73" i="145"/>
  <c r="J57" i="1"/>
  <c r="D57" i="1"/>
  <c r="L57" i="1"/>
  <c r="P57" i="1"/>
  <c r="N57" i="1"/>
  <c r="G57" i="1"/>
  <c r="Q56" i="1" l="1"/>
  <c r="E60" i="143"/>
  <c r="O57" i="1"/>
  <c r="K57" i="1"/>
  <c r="D75" i="145"/>
  <c r="M57" i="1"/>
  <c r="I57" i="1"/>
  <c r="C75" i="145"/>
  <c r="D60" i="143"/>
  <c r="H57" i="1"/>
  <c r="A59" i="1"/>
  <c r="A76" i="145"/>
  <c r="C9" i="107"/>
  <c r="E74" i="145"/>
  <c r="G59" i="143"/>
  <c r="E58" i="1"/>
  <c r="P58" i="1"/>
  <c r="D58" i="1"/>
  <c r="G58" i="1"/>
  <c r="L58" i="1"/>
  <c r="N58" i="1"/>
  <c r="J58" i="1"/>
  <c r="D61" i="143" l="1"/>
  <c r="C76" i="145"/>
  <c r="H58" i="1"/>
  <c r="I58" i="1"/>
  <c r="K58" i="1"/>
  <c r="D76" i="145"/>
  <c r="E61" i="143"/>
  <c r="O58" i="1"/>
  <c r="M58" i="1"/>
  <c r="A63" i="1"/>
  <c r="C9" i="108"/>
  <c r="A77" i="145"/>
  <c r="E75" i="145"/>
  <c r="Q57" i="1"/>
  <c r="G60" i="143"/>
  <c r="G59" i="1"/>
  <c r="N59" i="1"/>
  <c r="L59" i="1"/>
  <c r="P59" i="1"/>
  <c r="D59" i="1"/>
  <c r="J59" i="1"/>
  <c r="E59" i="1"/>
  <c r="E76" i="145" l="1"/>
  <c r="G61" i="143"/>
  <c r="D62" i="143"/>
  <c r="C77" i="145"/>
  <c r="C78" i="145" s="1"/>
  <c r="D60" i="1"/>
  <c r="I59" i="1"/>
  <c r="I60" i="1" s="1"/>
  <c r="O59" i="1"/>
  <c r="O60" i="1" s="1"/>
  <c r="D77" i="145"/>
  <c r="K59" i="1"/>
  <c r="K60" i="1" s="1"/>
  <c r="M59" i="1"/>
  <c r="M60" i="1" s="1"/>
  <c r="E62" i="143"/>
  <c r="G60" i="1"/>
  <c r="H59" i="1"/>
  <c r="F60" i="1"/>
  <c r="C9" i="109"/>
  <c r="A64" i="1"/>
  <c r="Q58" i="1"/>
  <c r="P63" i="1"/>
  <c r="G63" i="1"/>
  <c r="D63" i="1"/>
  <c r="J63" i="1"/>
  <c r="N63" i="1"/>
  <c r="E63" i="1"/>
  <c r="F63" i="1"/>
  <c r="L63" i="1"/>
  <c r="G62" i="143" l="1"/>
  <c r="K63" i="1"/>
  <c r="M63" i="1"/>
  <c r="E66" i="143"/>
  <c r="O63" i="1"/>
  <c r="I63" i="1"/>
  <c r="H63" i="1"/>
  <c r="D66" i="143"/>
  <c r="C9" i="110"/>
  <c r="A65" i="1"/>
  <c r="D10" i="145"/>
  <c r="H60" i="1"/>
  <c r="C42" i="145"/>
  <c r="C10" i="145"/>
  <c r="D63" i="143"/>
  <c r="E63" i="143"/>
  <c r="D42" i="145"/>
  <c r="E77" i="145"/>
  <c r="D78" i="145"/>
  <c r="E78" i="145" s="1"/>
  <c r="Q59" i="1"/>
  <c r="Q60" i="1" s="1"/>
  <c r="L64" i="1"/>
  <c r="G64" i="1"/>
  <c r="N64" i="1"/>
  <c r="P64" i="1"/>
  <c r="J64" i="1"/>
  <c r="F64" i="1"/>
  <c r="D64" i="1"/>
  <c r="E64" i="1"/>
  <c r="G66" i="143" l="1"/>
  <c r="D67" i="143"/>
  <c r="I64" i="1"/>
  <c r="E67" i="143"/>
  <c r="M64" i="1"/>
  <c r="K64" i="1"/>
  <c r="O64" i="1"/>
  <c r="H64" i="1"/>
  <c r="E42" i="145"/>
  <c r="C9" i="111"/>
  <c r="A66" i="1"/>
  <c r="G63" i="143"/>
  <c r="E10" i="145"/>
  <c r="Q63" i="1"/>
  <c r="J65" i="1"/>
  <c r="F65" i="1"/>
  <c r="P65" i="1"/>
  <c r="D65" i="1"/>
  <c r="L65" i="1"/>
  <c r="G65" i="1"/>
  <c r="N65" i="1"/>
  <c r="D68" i="143" l="1"/>
  <c r="H65" i="1"/>
  <c r="K65" i="1"/>
  <c r="I65" i="1"/>
  <c r="E68" i="143"/>
  <c r="O65" i="1"/>
  <c r="M65" i="1"/>
  <c r="Q64" i="1"/>
  <c r="A67" i="1"/>
  <c r="C9" i="114"/>
  <c r="G67" i="143"/>
  <c r="F66" i="1"/>
  <c r="P66" i="1"/>
  <c r="L66" i="1"/>
  <c r="G66" i="1"/>
  <c r="E66" i="1"/>
  <c r="D66" i="1"/>
  <c r="J66" i="1"/>
  <c r="N66" i="1"/>
  <c r="G68" i="143" l="1"/>
  <c r="Q65" i="1"/>
  <c r="D69" i="143"/>
  <c r="I66" i="1"/>
  <c r="O66" i="1"/>
  <c r="M66" i="1"/>
  <c r="K66" i="1"/>
  <c r="E69" i="143"/>
  <c r="H66" i="1"/>
  <c r="A68" i="1"/>
  <c r="C9" i="113"/>
  <c r="N67" i="1"/>
  <c r="E67" i="1"/>
  <c r="L67" i="1"/>
  <c r="P67" i="1"/>
  <c r="D67" i="1"/>
  <c r="F67" i="1"/>
  <c r="J67" i="1"/>
  <c r="G67" i="1"/>
  <c r="G69" i="143" l="1"/>
  <c r="D70" i="143"/>
  <c r="H67" i="1"/>
  <c r="M67" i="1"/>
  <c r="I67" i="1"/>
  <c r="K67" i="1"/>
  <c r="E70" i="143"/>
  <c r="O67" i="1"/>
  <c r="C9" i="115"/>
  <c r="A69" i="1"/>
  <c r="Q66" i="1"/>
  <c r="L68" i="1"/>
  <c r="E68" i="1"/>
  <c r="J68" i="1"/>
  <c r="G68" i="1"/>
  <c r="D68" i="1"/>
  <c r="F68" i="1"/>
  <c r="P68" i="1"/>
  <c r="N68" i="1"/>
  <c r="G70" i="143" l="1"/>
  <c r="I68" i="1"/>
  <c r="K68" i="1"/>
  <c r="M68" i="1"/>
  <c r="O68" i="1"/>
  <c r="E71" i="143"/>
  <c r="H68" i="1"/>
  <c r="D71" i="143"/>
  <c r="A70" i="1"/>
  <c r="C9" i="116"/>
  <c r="Q67" i="1"/>
  <c r="J69" i="1"/>
  <c r="D69" i="1"/>
  <c r="N69" i="1"/>
  <c r="G69" i="1"/>
  <c r="L69" i="1"/>
  <c r="F69" i="1"/>
  <c r="P69" i="1"/>
  <c r="H69" i="1" l="1"/>
  <c r="O69" i="1"/>
  <c r="I69" i="1"/>
  <c r="K69" i="1"/>
  <c r="M69" i="1"/>
  <c r="E72" i="143"/>
  <c r="D72" i="143"/>
  <c r="C9" i="117"/>
  <c r="A71" i="1"/>
  <c r="G71" i="143"/>
  <c r="Q68" i="1"/>
  <c r="F70" i="1"/>
  <c r="G70" i="1"/>
  <c r="J70" i="1"/>
  <c r="N70" i="1"/>
  <c r="P70" i="1"/>
  <c r="L70" i="1"/>
  <c r="D70" i="1"/>
  <c r="H70" i="1" l="1"/>
  <c r="D73" i="143"/>
  <c r="I70" i="1"/>
  <c r="M70" i="1"/>
  <c r="K70" i="1"/>
  <c r="E73" i="143"/>
  <c r="O70" i="1"/>
  <c r="Q69" i="1"/>
  <c r="G72" i="143"/>
  <c r="A72" i="1"/>
  <c r="C9" i="118"/>
  <c r="J71" i="1"/>
  <c r="P71" i="1"/>
  <c r="G71" i="1"/>
  <c r="F71" i="1"/>
  <c r="L71" i="1"/>
  <c r="D71" i="1"/>
  <c r="N71" i="1"/>
  <c r="G73" i="143" l="1"/>
  <c r="H71" i="1"/>
  <c r="D74" i="143"/>
  <c r="K71" i="1"/>
  <c r="O71" i="1"/>
  <c r="I71" i="1"/>
  <c r="M71" i="1"/>
  <c r="E74" i="143"/>
  <c r="C9" i="119"/>
  <c r="A73" i="1"/>
  <c r="Q70" i="1"/>
  <c r="P72" i="1"/>
  <c r="D72" i="1"/>
  <c r="G72" i="1"/>
  <c r="J72" i="1"/>
  <c r="L72" i="1"/>
  <c r="N72" i="1"/>
  <c r="G74" i="143" l="1"/>
  <c r="M72" i="1"/>
  <c r="I72" i="1"/>
  <c r="K72" i="1"/>
  <c r="E75" i="143"/>
  <c r="O72" i="1"/>
  <c r="H72" i="1"/>
  <c r="D75" i="143"/>
  <c r="C9" i="121"/>
  <c r="A74" i="1"/>
  <c r="Q71" i="1"/>
  <c r="L73" i="1"/>
  <c r="F73" i="1"/>
  <c r="J73" i="1"/>
  <c r="D73" i="1"/>
  <c r="P73" i="1"/>
  <c r="G73" i="1"/>
  <c r="N73" i="1"/>
  <c r="G75" i="143" l="1"/>
  <c r="H73" i="1"/>
  <c r="E76" i="143"/>
  <c r="K73" i="1"/>
  <c r="I73" i="1"/>
  <c r="M73" i="1"/>
  <c r="O73" i="1"/>
  <c r="D76" i="143"/>
  <c r="Q72" i="1"/>
  <c r="A75" i="1"/>
  <c r="C9" i="122"/>
  <c r="F74" i="1"/>
  <c r="P74" i="1"/>
  <c r="N74" i="1"/>
  <c r="J74" i="1"/>
  <c r="G74" i="1"/>
  <c r="L74" i="1"/>
  <c r="D74" i="1"/>
  <c r="Q73" i="1" l="1"/>
  <c r="D77" i="143"/>
  <c r="O74" i="1"/>
  <c r="E77" i="143"/>
  <c r="M74" i="1"/>
  <c r="I74" i="1"/>
  <c r="K74" i="1"/>
  <c r="H74" i="1"/>
  <c r="G76" i="143"/>
  <c r="C9" i="123"/>
  <c r="A76" i="1"/>
  <c r="P75" i="1"/>
  <c r="F75" i="1"/>
  <c r="N75" i="1"/>
  <c r="L75" i="1"/>
  <c r="J75" i="1"/>
  <c r="G75" i="1"/>
  <c r="D75" i="1"/>
  <c r="G77" i="143" l="1"/>
  <c r="D78" i="143"/>
  <c r="H75" i="1"/>
  <c r="O75" i="1"/>
  <c r="I75" i="1"/>
  <c r="M75" i="1"/>
  <c r="E78" i="143"/>
  <c r="K75" i="1"/>
  <c r="C9" i="124"/>
  <c r="A77" i="1"/>
  <c r="C9" i="125" s="1"/>
  <c r="Q74" i="1"/>
  <c r="F76" i="1"/>
  <c r="G76" i="1"/>
  <c r="D76" i="1"/>
  <c r="N76" i="1"/>
  <c r="L76" i="1"/>
  <c r="P76" i="1"/>
  <c r="J76" i="1"/>
  <c r="G78" i="143" l="1"/>
  <c r="Q75" i="1"/>
  <c r="H76" i="1"/>
  <c r="D79" i="143"/>
  <c r="O76" i="1"/>
  <c r="I76" i="1"/>
  <c r="E79" i="143"/>
  <c r="K76" i="1"/>
  <c r="M76" i="1"/>
  <c r="A78" i="1"/>
  <c r="G77" i="1"/>
  <c r="F77" i="1"/>
  <c r="D77" i="1"/>
  <c r="J77" i="1"/>
  <c r="L77" i="1"/>
  <c r="P77" i="1"/>
  <c r="N77" i="1"/>
  <c r="Q76" i="1" l="1"/>
  <c r="H77" i="1"/>
  <c r="D80" i="143"/>
  <c r="M77" i="1"/>
  <c r="E80" i="143"/>
  <c r="K77" i="1"/>
  <c r="I77" i="1"/>
  <c r="O77" i="1"/>
  <c r="A79" i="1"/>
  <c r="A19" i="145"/>
  <c r="C9" i="126"/>
  <c r="G79" i="143"/>
  <c r="F78" i="1"/>
  <c r="L78" i="1"/>
  <c r="P78" i="1"/>
  <c r="N78" i="1"/>
  <c r="J78" i="1"/>
  <c r="G78" i="1"/>
  <c r="D78" i="1"/>
  <c r="G80" i="143" l="1"/>
  <c r="M78" i="1"/>
  <c r="O78" i="1"/>
  <c r="E81" i="143"/>
  <c r="K78" i="1"/>
  <c r="I78" i="1"/>
  <c r="C19" i="145"/>
  <c r="D81" i="143"/>
  <c r="D19" i="145"/>
  <c r="H78" i="1"/>
  <c r="A20" i="145"/>
  <c r="A80" i="1"/>
  <c r="C9" i="127"/>
  <c r="Q77" i="1"/>
  <c r="J79" i="1"/>
  <c r="F79" i="1"/>
  <c r="G79" i="1"/>
  <c r="D79" i="1"/>
  <c r="N79" i="1"/>
  <c r="P79" i="1"/>
  <c r="L79" i="1"/>
  <c r="E19" i="145" l="1"/>
  <c r="D20" i="145"/>
  <c r="H79" i="1"/>
  <c r="C20" i="145"/>
  <c r="D82" i="143"/>
  <c r="M79" i="1"/>
  <c r="O79" i="1"/>
  <c r="E82" i="143"/>
  <c r="K79" i="1"/>
  <c r="I79" i="1"/>
  <c r="C9" i="128"/>
  <c r="A81" i="1"/>
  <c r="G81" i="143"/>
  <c r="Q78" i="1"/>
  <c r="J80" i="1"/>
  <c r="G80" i="1"/>
  <c r="N80" i="1"/>
  <c r="D80" i="1"/>
  <c r="L80" i="1"/>
  <c r="F80" i="1"/>
  <c r="P80" i="1"/>
  <c r="G82" i="143" l="1"/>
  <c r="H80" i="1"/>
  <c r="E83" i="143"/>
  <c r="I80" i="1"/>
  <c r="M80" i="1"/>
  <c r="K80" i="1"/>
  <c r="O80" i="1"/>
  <c r="D83" i="143"/>
  <c r="C9" i="129"/>
  <c r="A82" i="1"/>
  <c r="Q79" i="1"/>
  <c r="E20" i="145"/>
  <c r="L81" i="1"/>
  <c r="N81" i="1"/>
  <c r="J81" i="1"/>
  <c r="F81" i="1"/>
  <c r="D81" i="1"/>
  <c r="G81" i="1"/>
  <c r="P81" i="1"/>
  <c r="D84" i="143" l="1"/>
  <c r="H81" i="1"/>
  <c r="M81" i="1"/>
  <c r="K81" i="1"/>
  <c r="E84" i="143"/>
  <c r="I81" i="1"/>
  <c r="O81" i="1"/>
  <c r="Q80" i="1"/>
  <c r="G83" i="143"/>
  <c r="C9" i="130"/>
  <c r="A83" i="1"/>
  <c r="D82" i="1"/>
  <c r="F82" i="1"/>
  <c r="N82" i="1"/>
  <c r="L82" i="1"/>
  <c r="G82" i="1"/>
  <c r="P82" i="1"/>
  <c r="J82" i="1"/>
  <c r="G84" i="143" l="1"/>
  <c r="D85" i="143"/>
  <c r="M82" i="1"/>
  <c r="I82" i="1"/>
  <c r="E85" i="143"/>
  <c r="K82" i="1"/>
  <c r="O82" i="1"/>
  <c r="H82" i="1"/>
  <c r="Q81" i="1"/>
  <c r="C9" i="131"/>
  <c r="A84" i="1"/>
  <c r="L83" i="1"/>
  <c r="D83" i="1"/>
  <c r="P83" i="1"/>
  <c r="N83" i="1"/>
  <c r="J83" i="1"/>
  <c r="G83" i="1"/>
  <c r="F83" i="1"/>
  <c r="Q82" i="1" l="1"/>
  <c r="M83" i="1"/>
  <c r="O83" i="1"/>
  <c r="E86" i="143"/>
  <c r="K83" i="1"/>
  <c r="I83" i="1"/>
  <c r="H83" i="1"/>
  <c r="D86" i="143"/>
  <c r="C9" i="132"/>
  <c r="A85" i="1"/>
  <c r="G85" i="143"/>
  <c r="F84" i="1"/>
  <c r="D84" i="1"/>
  <c r="L84" i="1"/>
  <c r="P84" i="1"/>
  <c r="N84" i="1"/>
  <c r="G84" i="1"/>
  <c r="J84" i="1"/>
  <c r="H84" i="1" l="1"/>
  <c r="D87" i="143"/>
  <c r="M84" i="1"/>
  <c r="O84" i="1"/>
  <c r="E87" i="143"/>
  <c r="K84" i="1"/>
  <c r="I84" i="1"/>
  <c r="A86" i="1"/>
  <c r="C9" i="133"/>
  <c r="G86" i="143"/>
  <c r="Q83" i="1"/>
  <c r="D85" i="1"/>
  <c r="G85" i="1"/>
  <c r="F85" i="1"/>
  <c r="P85" i="1"/>
  <c r="J85" i="1"/>
  <c r="N85" i="1"/>
  <c r="L85" i="1"/>
  <c r="I85" i="1" l="1"/>
  <c r="O85" i="1"/>
  <c r="E88" i="143"/>
  <c r="K85" i="1"/>
  <c r="M85" i="1"/>
  <c r="D88" i="143"/>
  <c r="H85" i="1"/>
  <c r="A94" i="1"/>
  <c r="A25" i="145"/>
  <c r="C9" i="134"/>
  <c r="A82" i="145"/>
  <c r="Q84" i="1"/>
  <c r="G87" i="143"/>
  <c r="L86" i="1"/>
  <c r="F86" i="1"/>
  <c r="P86" i="1"/>
  <c r="G86" i="1"/>
  <c r="D86" i="1"/>
  <c r="J86" i="1"/>
  <c r="N86" i="1"/>
  <c r="G88" i="143" l="1"/>
  <c r="D82" i="145"/>
  <c r="E89" i="143"/>
  <c r="K86" i="1"/>
  <c r="K87" i="1" s="1"/>
  <c r="K89" i="1" s="1"/>
  <c r="K91" i="1" s="1"/>
  <c r="I86" i="1"/>
  <c r="O86" i="1"/>
  <c r="O87" i="1" s="1"/>
  <c r="O89" i="1" s="1"/>
  <c r="O91" i="1" s="1"/>
  <c r="M86" i="1"/>
  <c r="M87" i="1" s="1"/>
  <c r="M89" i="1" s="1"/>
  <c r="M91" i="1" s="1"/>
  <c r="G87" i="1"/>
  <c r="D25" i="145"/>
  <c r="H86" i="1"/>
  <c r="F87" i="1"/>
  <c r="C25" i="145"/>
  <c r="C82" i="145"/>
  <c r="D89" i="143"/>
  <c r="D87" i="1"/>
  <c r="A95" i="1"/>
  <c r="C9" i="135"/>
  <c r="Q85" i="1"/>
  <c r="G94" i="1"/>
  <c r="P94" i="1"/>
  <c r="N94" i="1"/>
  <c r="L94" i="1"/>
  <c r="D94" i="1"/>
  <c r="J94" i="1"/>
  <c r="E25" i="145" l="1"/>
  <c r="H94" i="1"/>
  <c r="I94" i="1"/>
  <c r="K94" i="1"/>
  <c r="M94" i="1"/>
  <c r="O94" i="1"/>
  <c r="Q86" i="1"/>
  <c r="Q87" i="1" s="1"/>
  <c r="Q89" i="1" s="1"/>
  <c r="I87" i="1"/>
  <c r="I89" i="1" s="1"/>
  <c r="I91" i="1" s="1"/>
  <c r="A96" i="1"/>
  <c r="C9" i="138"/>
  <c r="E90" i="143"/>
  <c r="D43" i="145"/>
  <c r="D44" i="145" s="1"/>
  <c r="G89" i="1"/>
  <c r="C11" i="145"/>
  <c r="C12" i="145" s="1"/>
  <c r="D90" i="143"/>
  <c r="C43" i="145"/>
  <c r="C44" i="145" s="1"/>
  <c r="D89" i="1"/>
  <c r="H87" i="1"/>
  <c r="D11" i="145"/>
  <c r="F89" i="1"/>
  <c r="F91" i="1" s="1"/>
  <c r="G89" i="143"/>
  <c r="E82" i="145"/>
  <c r="L95" i="1"/>
  <c r="E95" i="1"/>
  <c r="J95" i="1"/>
  <c r="F95" i="1"/>
  <c r="D95" i="1"/>
  <c r="N95" i="1"/>
  <c r="P95" i="1"/>
  <c r="G95" i="1"/>
  <c r="H95" i="1" l="1"/>
  <c r="O95" i="1"/>
  <c r="I95" i="1"/>
  <c r="M95" i="1"/>
  <c r="K95" i="1"/>
  <c r="D92" i="143"/>
  <c r="D91" i="1"/>
  <c r="Q94" i="1"/>
  <c r="E92" i="143"/>
  <c r="G91" i="1"/>
  <c r="C9" i="136"/>
  <c r="A100" i="1"/>
  <c r="Q91" i="1"/>
  <c r="E11" i="145"/>
  <c r="D12" i="145"/>
  <c r="E12" i="145" s="1"/>
  <c r="E43" i="145"/>
  <c r="E44" i="145"/>
  <c r="G90" i="143"/>
  <c r="N96" i="1"/>
  <c r="P96" i="1"/>
  <c r="L96" i="1"/>
  <c r="F96" i="1"/>
  <c r="D96" i="1"/>
  <c r="E96" i="1"/>
  <c r="G96" i="1"/>
  <c r="J96" i="1"/>
  <c r="G92" i="143" l="1"/>
  <c r="C5" i="143" s="1"/>
  <c r="K96" i="1"/>
  <c r="I96" i="1"/>
  <c r="O96" i="1"/>
  <c r="O97" i="1" s="1"/>
  <c r="M96" i="1"/>
  <c r="M97" i="1" s="1"/>
  <c r="G97" i="1"/>
  <c r="H96" i="1"/>
  <c r="F97" i="1"/>
  <c r="D97" i="1"/>
  <c r="K97" i="1"/>
  <c r="D94" i="143"/>
  <c r="A101" i="1"/>
  <c r="C9" i="137"/>
  <c r="E94" i="143"/>
  <c r="C3" i="143"/>
  <c r="C6" i="143"/>
  <c r="Q95" i="1"/>
  <c r="N100" i="1"/>
  <c r="P100" i="1"/>
  <c r="J100" i="1"/>
  <c r="D100" i="1"/>
  <c r="L100" i="1"/>
  <c r="F100" i="1"/>
  <c r="E100" i="1"/>
  <c r="G100" i="1"/>
  <c r="G94" i="143" l="1"/>
  <c r="I100" i="1"/>
  <c r="M100" i="1"/>
  <c r="O100" i="1"/>
  <c r="K100" i="1"/>
  <c r="H100" i="1"/>
  <c r="C7" i="143"/>
  <c r="Q96" i="1"/>
  <c r="I97" i="1"/>
  <c r="C9" i="139"/>
  <c r="H97" i="1"/>
  <c r="N101" i="1"/>
  <c r="E101" i="1"/>
  <c r="D101" i="1"/>
  <c r="F101" i="1"/>
  <c r="G101" i="1"/>
  <c r="J101" i="1"/>
  <c r="L101" i="1"/>
  <c r="P101" i="1"/>
  <c r="G103" i="1" l="1"/>
  <c r="G109" i="1" s="1"/>
  <c r="H101" i="1"/>
  <c r="F103" i="1"/>
  <c r="D103" i="1"/>
  <c r="D109" i="1" s="1"/>
  <c r="I101" i="1"/>
  <c r="O101" i="1"/>
  <c r="O103" i="1" s="1"/>
  <c r="O109" i="1" s="1"/>
  <c r="M101" i="1"/>
  <c r="M103" i="1" s="1"/>
  <c r="M109" i="1" s="1"/>
  <c r="M128" i="1" s="1"/>
  <c r="K101" i="1"/>
  <c r="K103" i="1" s="1"/>
  <c r="K109" i="1" s="1"/>
  <c r="K138" i="1" s="1"/>
  <c r="Q97" i="1"/>
  <c r="Q100" i="1"/>
  <c r="Q101" i="1" l="1"/>
  <c r="I103" i="1"/>
  <c r="H103" i="1"/>
  <c r="F109" i="1"/>
  <c r="O117" i="1"/>
  <c r="Q103" i="1" l="1"/>
  <c r="Q109" i="1" s="1"/>
  <c r="I109" i="1"/>
  <c r="I138" i="1" s="1"/>
  <c r="M130" i="1"/>
  <c r="M138" i="1" s="1"/>
  <c r="Q128" i="1"/>
  <c r="Q130" i="1" s="1"/>
  <c r="Q117" i="1"/>
  <c r="O118" i="1"/>
  <c r="Q118" i="1" l="1"/>
  <c r="Q138" i="1" s="1"/>
  <c r="O1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tc={3559A2BE-2803-44E5-AE1B-EB5E2E69FD45}</author>
    <author>tc={C38FA6E3-4107-4CC0-8A9E-00970088CB60}</author>
    <author>tc={EB342029-DE15-4A6F-BF76-C53D3577D007}</author>
    <author>tc={760248AD-0C0D-4BC3-AA09-F20A0731F506}</author>
    <author>tc={BD9576D9-EF93-44B9-84AD-E138F10B6CB8}</author>
    <author>tc={0DCFB354-DACF-4396-9495-79EE2128F40C}</author>
  </authors>
  <commentList>
    <comment ref="E4" authorId="0" shapeId="0" xr:uid="{3559A2BE-2803-44E5-AE1B-EB5E2E69FD45}">
      <text>
        <t>[Threaded comment]
Your version of Excel allows you to read this threaded comment; however, any edits to it will get removed if the file is opened in a newer version of Excel. Learn more: https://go.microsoft.com/fwlink/?linkid=870924
Comment:
    Select the enterprise that the budget item is from.</t>
      </text>
    </comment>
    <comment ref="C8" authorId="1" shapeId="0" xr:uid="{C38FA6E3-4107-4CC0-8A9E-00970088CB60}">
      <text>
        <t>[Threaded comment]
Your version of Excel allows you to read this threaded comment; however, any edits to it will get removed if the file is opened in a newer version of Excel. Learn more: https://go.microsoft.com/fwlink/?linkid=870924
Comment:
    Fed from the Operating Budget tab</t>
      </text>
    </comment>
    <comment ref="B13" authorId="2" shapeId="0" xr:uid="{EB342029-DE15-4A6F-BF76-C53D3577D007}">
      <text>
        <t>[Threaded comment]
Your version of Excel allows you to read this threaded comment; however, any edits to it will get removed if the file is opened in a newer version of Excel. Learn more: https://go.microsoft.com/fwlink/?linkid=870924
Comment:
    Double-check, and update as needed.</t>
      </text>
    </comment>
    <comment ref="B17" authorId="3" shapeId="0" xr:uid="{760248AD-0C0D-4BC3-AA09-F20A0731F506}">
      <text>
        <t>[Threaded comment]
Your version of Excel allows you to read this threaded comment; however, any edits to it will get removed if the file is opened in a newer version of Excel. Learn more: https://go.microsoft.com/fwlink/?linkid=870924
Comment:
    Include any changes from the previous year. Explain any anomalies, new initiatives, or sharp changes in costs/revenues.</t>
      </text>
    </comment>
    <comment ref="D22" authorId="4" shapeId="0" xr:uid="{BD9576D9-EF93-44B9-84AD-E138F10B6CB8}">
      <text>
        <t>[Threaded comment]
Your version of Excel allows you to read this threaded comment; however, any edits to it will get removed if the file is opened in a newer version of Excel. Learn more: https://go.microsoft.com/fwlink/?linkid=870924
Comment:
    Get these figures from the Financial Plan Model</t>
      </text>
    </comment>
    <comment ref="C26" authorId="5" shapeId="0" xr:uid="{0DCFB354-DACF-4396-9495-79EE2128F40C}">
      <text>
        <t>[Threaded comment]
Your version of Excel allows you to read this threaded comment; however, any edits to it will get removed if the file is opened in a newer version of Excel. Learn more: https://go.microsoft.com/fwlink/?linkid=870924
Comment:
    This number is usually in light gray on most sheets. Double click the "Rounded To" cell and it will appear. It roundsup to the nearest hundredth, thousandths, etc. based on the number chosen.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tc={20BDDAB6-56D4-4682-9FEC-0F52C6432CAC}</author>
    <author>tc={50ADA7D2-9F82-4334-8E7B-02114CA742D0}</author>
  </authors>
  <commentList>
    <comment ref="B120" authorId="0" shapeId="0" xr:uid="{20BDDAB6-56D4-4682-9FEC-0F52C6432CAC}">
      <text>
        <t>[Threaded comment]
Your version of Excel allows you to read this threaded comment; however, any edits to it will get removed if the file is opened in a newer version of Excel. Learn more: https://go.microsoft.com/fwlink/?linkid=870924
Comment:
    For columns I, K, M, O -- need to type in values for each (between rows 121 and 129).</t>
      </text>
    </comment>
    <comment ref="B123" authorId="1" shapeId="0" xr:uid="{50ADA7D2-9F82-4334-8E7B-02114CA742D0}">
      <text>
        <t>[Threaded comment]
Your version of Excel allows you to read this threaded comment; however, any edits to it will get removed if the file is opened in a newer version of Excel. Learn more: https://go.microsoft.com/fwlink/?linkid=870924
Comment:
    Look at the FP model to see what the appropriate amount to send to Capital Reserves are.</t>
      </text>
    </comment>
  </commentList>
</comments>
</file>

<file path=xl/sharedStrings.xml><?xml version="1.0" encoding="utf-8"?>
<sst xmlns="http://schemas.openxmlformats.org/spreadsheetml/2006/main" count="2445" uniqueCount="615">
  <si>
    <t>cibcsd.com/budget</t>
  </si>
  <si>
    <t>WATER ENTERPRISE</t>
  </si>
  <si>
    <t>Account Number:</t>
  </si>
  <si>
    <t>Budget Line Item:</t>
  </si>
  <si>
    <t>Account Description:</t>
  </si>
  <si>
    <t>All water sales revenues from flat meter charges and volumetric water sales from all customer classes.</t>
  </si>
  <si>
    <t>Revenue adjustment of 3% per rate study.</t>
  </si>
  <si>
    <t>Budget Backup</t>
  </si>
  <si>
    <t>Meter Flat Rate</t>
  </si>
  <si>
    <t>Water Usage Charges</t>
  </si>
  <si>
    <t>Total</t>
  </si>
  <si>
    <t>Rounded To:</t>
  </si>
  <si>
    <t>Adopted</t>
  </si>
  <si>
    <t>Actual Through</t>
  </si>
  <si>
    <t>Projected</t>
  </si>
  <si>
    <t>Proposed</t>
  </si>
  <si>
    <t>SEWER ENTERPRISE</t>
  </si>
  <si>
    <t>All sewer revenues from fixed charges and volumetric sewage usage charges from approximately 2236 sewer connections.</t>
  </si>
  <si>
    <t>Revenue adjustment of 2% per rate study.</t>
  </si>
  <si>
    <t>Fixed Charges</t>
  </si>
  <si>
    <t>Sewer Usage Charges</t>
  </si>
  <si>
    <t>Sewer Transportation-City of Oxnard</t>
  </si>
  <si>
    <t>San Nicholas Stormwater Diversion - County WPD</t>
  </si>
  <si>
    <t>TRASH ENTERPRISE</t>
  </si>
  <si>
    <t>All trash revenues from flat trash service charges, walk-in service, and large bin rental.</t>
  </si>
  <si>
    <t>Revenue adjustment of 2.5% per COLA increase.</t>
  </si>
  <si>
    <t>EJ Harrison Contract Costs</t>
  </si>
  <si>
    <t>Water supply costs from the Port Hueneme Water Agency.</t>
  </si>
  <si>
    <t xml:space="preserve">None </t>
  </si>
  <si>
    <t>Quantity</t>
  </si>
  <si>
    <t>Rate</t>
  </si>
  <si>
    <t>Allocation</t>
  </si>
  <si>
    <t>Water</t>
  </si>
  <si>
    <t>Sewer</t>
  </si>
  <si>
    <t>Trash</t>
  </si>
  <si>
    <t>Community</t>
  </si>
  <si>
    <t>Monthly Fixed Costs</t>
  </si>
  <si>
    <t>Water Only</t>
  </si>
  <si>
    <t>Variable Water Purchase Costs</t>
  </si>
  <si>
    <t>Enterprise Allocation</t>
  </si>
  <si>
    <t>Calculated</t>
  </si>
  <si>
    <t>Rounded</t>
  </si>
  <si>
    <t>Weekly bacteriological sampling and analyses required by the State Water Resources Control Board (SWRCB). Results are submitted to SWRCB via the District's monthly report.</t>
  </si>
  <si>
    <t>None</t>
  </si>
  <si>
    <t>Weekly Sampling Costs</t>
  </si>
  <si>
    <t>Lead and Copper Testing</t>
  </si>
  <si>
    <t>Disinfection Monitoring</t>
  </si>
  <si>
    <t>Miscellaneous Testing</t>
  </si>
  <si>
    <t>Hardness, Nitrate Monitoring</t>
  </si>
  <si>
    <t>Regulatory fees due to the State Water Resources Control Board, the State Regulatory Agency overseeing community water systems.</t>
  </si>
  <si>
    <t>Proposed 11% increase.</t>
  </si>
  <si>
    <t>Base Fee</t>
  </si>
  <si>
    <t>Inspections &amp; Compliance Tracking</t>
  </si>
  <si>
    <t xml:space="preserve">Consumer Confidence Report to District Customers as mandated by the State Water Resources Control Board requirements.  </t>
  </si>
  <si>
    <t>Design, Print, and Mailing Costs</t>
  </si>
  <si>
    <t>Cross Connection Control contract, with the County of Ventura, Environmental Health Department (VCEHD). Required monitoring of backflow devices in the District to insure against cross connections failures between potable and non-potable water systems in the District. Enforcement of CCC compliance remains with the District, however testing and repairs are done by private certified firms.</t>
  </si>
  <si>
    <t xml:space="preserve"> Based on VCEHD anticpated increases in FY 2021-22.</t>
  </si>
  <si>
    <t>Quarterly Testing</t>
  </si>
  <si>
    <t>Costs for routine repairs to water distribution system for both services and materials.</t>
  </si>
  <si>
    <t>Water Meters</t>
  </si>
  <si>
    <t>Water Meter Boxes</t>
  </si>
  <si>
    <t>Water Meter Lids</t>
  </si>
  <si>
    <t>Copper Tubing</t>
  </si>
  <si>
    <t>Valves</t>
  </si>
  <si>
    <t>Couplings &amp; Adapters/Dresser couplings</t>
  </si>
  <si>
    <t>Saddles</t>
  </si>
  <si>
    <t>Repair clamps</t>
  </si>
  <si>
    <t>Tools</t>
  </si>
  <si>
    <t>Pipe</t>
  </si>
  <si>
    <t>Traffic plates</t>
  </si>
  <si>
    <t>No Dez</t>
  </si>
  <si>
    <t>On-Call Emergency Repair</t>
  </si>
  <si>
    <t>Backflow Testing</t>
  </si>
  <si>
    <t>Concrete</t>
  </si>
  <si>
    <t>Ashphalt</t>
  </si>
  <si>
    <t>Costs for transmitting water consumption data from smart water meters to cloud server through Advanced Metering Infrastructure. Program costs only include half of annual costs. Remaining half is funded by Sewer Enterprise.</t>
  </si>
  <si>
    <t>Monthly Data Costs</t>
  </si>
  <si>
    <t>Payments to the City of Oxnard to transport, treat and dispose of the District's sewage at the Oxnard Regional Wastewater Treatment Plant. The rate shown for each bill component is adjusted on January 1 of each year. The rate shown is an average of the two calendar year rates within the fiscal year.</t>
  </si>
  <si>
    <t>Additional costs to treat stormwater from San Nicholas Diversion offset by Sewer Revenues.</t>
  </si>
  <si>
    <t>Rate (Average)</t>
  </si>
  <si>
    <t>Flow (mg)</t>
  </si>
  <si>
    <t>Sewer Only</t>
  </si>
  <si>
    <t>BOD (lbs)</t>
  </si>
  <si>
    <t>TSS (lbs)</t>
  </si>
  <si>
    <t>O&amp;M Share of Oxnard LS #29</t>
  </si>
  <si>
    <t>San Nicholas Diversion Treatment</t>
  </si>
  <si>
    <t>Costs for routine repairs to sewage collection system for both services and materials.</t>
  </si>
  <si>
    <t>Increase for gravity line cleaning.</t>
  </si>
  <si>
    <t>Safety Equipment &amp; Apparatuses</t>
  </si>
  <si>
    <t>Nozzles</t>
  </si>
  <si>
    <t>Plugs</t>
  </si>
  <si>
    <t>Small generator</t>
  </si>
  <si>
    <t>Tools for trucks</t>
  </si>
  <si>
    <t>Saw Blades</t>
  </si>
  <si>
    <t>Crane truck rehab</t>
  </si>
  <si>
    <t>Palm tree removal</t>
  </si>
  <si>
    <t>Copper tube pinchers</t>
  </si>
  <si>
    <t>Manhole ring and covers</t>
  </si>
  <si>
    <t>NASSCO Training</t>
  </si>
  <si>
    <t>3" Trash pump</t>
  </si>
  <si>
    <t>Manhole opening tools</t>
  </si>
  <si>
    <t>Wastewater Electrical and Instrumentation</t>
  </si>
  <si>
    <t>Emergency Repairs</t>
  </si>
  <si>
    <t>Gravity Line Cleaning</t>
  </si>
  <si>
    <t>Wetwell &amp; Hot Spot Cleaning</t>
  </si>
  <si>
    <t>Costs for communication systems within sewer lift stations, smart meter data transmission, and smart cover satellite communication.</t>
  </si>
  <si>
    <t>Months</t>
  </si>
  <si>
    <t>XiO SCADA  Service</t>
  </si>
  <si>
    <t>Smart Cover Service</t>
  </si>
  <si>
    <t>Smart Meter Telemetry</t>
  </si>
  <si>
    <t>Overages</t>
  </si>
  <si>
    <t>Payments for electricity serving wastewater lift stations.</t>
  </si>
  <si>
    <t>Estimated increase from Edison</t>
  </si>
  <si>
    <t>Monthly Electrical Costs</t>
  </si>
  <si>
    <t>Done</t>
  </si>
  <si>
    <t>Contract trash collection and recycling service payments to EJ Harrion &amp; Sons pursuant to Trash and Disposal Agreement dated Jan. 9, 2018.  Also provides for one community clean up event per year and HHW pickup.</t>
  </si>
  <si>
    <t>Monthly Contract Costs</t>
  </si>
  <si>
    <t>Solid Waste Only</t>
  </si>
  <si>
    <t>GENERAL</t>
  </si>
  <si>
    <t>Gasoline purchases required to support the daily operation of the District's fleet of four vehicles and backhoe in support of the water, sewer, trash utilities and non-core utility community service programs.</t>
  </si>
  <si>
    <t xml:space="preserve">No changes from previous fiscal year. </t>
  </si>
  <si>
    <t>Fuel Costs</t>
  </si>
  <si>
    <t>Ops Time</t>
  </si>
  <si>
    <t xml:space="preserve">Vehicle maintenance expenses required to support the daily operation of the District's fleet of three vehicles in support of the water, sewer, trash utilities and non-core utility community service programs. </t>
  </si>
  <si>
    <t>Additional funds are needed to extend life of vehicles beyond historical replacement schedule, while staff determines best available option for future fleet needs.</t>
  </si>
  <si>
    <t>Vehicle Repair Costs</t>
  </si>
  <si>
    <t>Subscription, service, and maintenance costs related to building alarms and camera systems.</t>
  </si>
  <si>
    <t>Bay Alarm Monthly Services</t>
  </si>
  <si>
    <t>Equal Distribution</t>
  </si>
  <si>
    <t>Maintenance and supply expenses incurred by planned and unplanned repairs and improvements to the District's buildings, small equipment, storage containers and areas.</t>
  </si>
  <si>
    <t>Removed fumigation and added Highland and San Clemente storage improvements.</t>
  </si>
  <si>
    <t>Fire Extinguisher Recharge</t>
  </si>
  <si>
    <t>Electrical &amp; Plumbing Repair</t>
  </si>
  <si>
    <t>Carpet Cleaning</t>
  </si>
  <si>
    <t>Yards, San Clemente &amp; Highland</t>
  </si>
  <si>
    <t>Janitorial Service</t>
  </si>
  <si>
    <t xml:space="preserve">Annual maintenance and/or replacement of signs and banners used by the District to inform the beach community about building uses, utility services, special programs, and non-core community services, Community Clean Up Day. </t>
  </si>
  <si>
    <t>Signs &amp; Banner Expense</t>
  </si>
  <si>
    <t>COMMUNITY SERVICE</t>
  </si>
  <si>
    <t>Annual maintenance and/or repair of existing public landscape projects at the Wanda M. Pirkle Community Park and District Office.</t>
  </si>
  <si>
    <t>Palm tree trimming Pirkle Park</t>
  </si>
  <si>
    <t>Pirkle Park Maintenance</t>
  </si>
  <si>
    <t>Comm Svc Only</t>
  </si>
  <si>
    <t>Auxiliary Yard Maintenance</t>
  </si>
  <si>
    <t>District Yard Maintenance</t>
  </si>
  <si>
    <t>Safety supplies and equipment for District personnel (not associated with a specific Enterprise fund), including, but not limited to, steel toe boots for operations department, sun screen &amp; gas protectors.</t>
  </si>
  <si>
    <t>Safety Equipment</t>
  </si>
  <si>
    <t>Expenditures required to support the planning, development, training and equipment of the Channel Islands Beach Community Services District Emergency Response Team (CIBERT) and coordinate the team's activities with the Ventura County Sheriff's Dept. Office.</t>
  </si>
  <si>
    <t>CERT Supplies</t>
  </si>
  <si>
    <t>Regular wage and salary compensation payments for the District's 8 employees:  General Manager, Operations Manager, Office Manager,  2 Customer Service Reps and 3 Water/Wastewater workers.</t>
  </si>
  <si>
    <t xml:space="preserve"> Budget amount for FY 2021-2022 includes COLA ncrease  of 2.2%.</t>
  </si>
  <si>
    <t>Staff Salaries</t>
  </si>
  <si>
    <t>Staff Time</t>
  </si>
  <si>
    <t>CHANNEL ISLANDS BEACH COMMUNITY SERVICES DISTRICT</t>
  </si>
  <si>
    <t>Projected Salaries</t>
  </si>
  <si>
    <t>Year Ended June 30, 2018</t>
  </si>
  <si>
    <t>COLA</t>
  </si>
  <si>
    <t>Std Step</t>
  </si>
  <si>
    <t>Custom</t>
  </si>
  <si>
    <t>PHWA</t>
  </si>
  <si>
    <t>Current</t>
  </si>
  <si>
    <t>Annual</t>
  </si>
  <si>
    <t>ED</t>
  </si>
  <si>
    <t>KW</t>
  </si>
  <si>
    <t>DB</t>
  </si>
  <si>
    <t>ME</t>
  </si>
  <si>
    <t>CJ</t>
  </si>
  <si>
    <t>GM</t>
  </si>
  <si>
    <t>DGM</t>
  </si>
  <si>
    <t>OM</t>
  </si>
  <si>
    <t>Total Combined</t>
  </si>
  <si>
    <t>On-call, scheduled and emergency overtime</t>
  </si>
  <si>
    <t>Merit Increases</t>
  </si>
  <si>
    <t>Potential cash out of sick &amp; vacation time</t>
  </si>
  <si>
    <t xml:space="preserve">Round </t>
  </si>
  <si>
    <t>Employer taxes on personnel and Board wages.</t>
  </si>
  <si>
    <t>Payroll Taxes</t>
  </si>
  <si>
    <t>Medical Insurance provided by CalPERS. Dental, Vision and Life Insurance provided by ACWA/JPIA.</t>
  </si>
  <si>
    <t>Anticipated 12% increase, additional increase for employees currently not using Medical to sign up.</t>
  </si>
  <si>
    <t>Insurance Premiums</t>
  </si>
  <si>
    <t>Upon enrollment in CalPERS (May 5, 2018), 6.85% of employee wages go towards Employer share of CalPERS formula.  3.47% are contributed toward employee 457 plans. Calculated by base salary rate of $762,000</t>
  </si>
  <si>
    <t>457 Deferred Compensation Employer Share</t>
  </si>
  <si>
    <t>CalPERS Employer Contribution</t>
  </si>
  <si>
    <t>Weekly uniform cleaning and laundry expenses for District staff uniforms and towel service.</t>
  </si>
  <si>
    <t>Cleaning Costs</t>
  </si>
  <si>
    <t>Uniform Replacement</t>
  </si>
  <si>
    <t>Monthly payments to ACW/JPIA Workman's Compensation Insurance based on total wages for employees and Board Members.</t>
  </si>
  <si>
    <t>Continued decrease in premiums due to zero claims.</t>
  </si>
  <si>
    <t>Insurance Premium</t>
  </si>
  <si>
    <t>Expenses related to tuition reimbursement programs, general trainings, and conference registration.</t>
  </si>
  <si>
    <t>Adjustment to MOU for tuition reimbursement for Represented Staff up to $2,000 per year</t>
  </si>
  <si>
    <t>Represented Employee Tuition Reimbursement</t>
  </si>
  <si>
    <t>3 @ 2000</t>
  </si>
  <si>
    <t>Management Tuition Reimbursement (Expires FY 2021)</t>
  </si>
  <si>
    <t>Trainings &amp; Continuing Education</t>
  </si>
  <si>
    <t>Conference Registration</t>
  </si>
  <si>
    <t>Boardmember compensation for Regular Board Meetings</t>
  </si>
  <si>
    <t>Increase due to Ordinance 94.</t>
  </si>
  <si>
    <t>Board Compensation</t>
  </si>
  <si>
    <t>Boardmember compensation for Special Board Meetings and Committee Meetings</t>
  </si>
  <si>
    <t>Board/Committee Meeting Expenses including Hollywood Beach School rental,  miscellaneous supplies, Annual Volunteer Luncheon. Includes donation for Veteran's Day Event at Hollywood Beach School.</t>
  </si>
  <si>
    <t>Meeting Expenses</t>
  </si>
  <si>
    <t>?</t>
  </si>
  <si>
    <t>Registration for attendance at conferences including ACWA, CSDA, and various Mangement seminars.</t>
  </si>
  <si>
    <t>Registration Costs</t>
  </si>
  <si>
    <t>Employee and Boardmember travel for education and seminars, including reimbursement for mileage and meals.</t>
  </si>
  <si>
    <t>Travel Expenses</t>
  </si>
  <si>
    <t>Annual payments for the District's membership in organizations.</t>
  </si>
  <si>
    <t>Increase in dues from CSDA, ACWA and LAFCO</t>
  </si>
  <si>
    <t xml:space="preserve">Association of Calfiornia Water Agencies (ACWA) </t>
  </si>
  <si>
    <t>Channel Counties Water Utilities Assoc (CCWUA)</t>
  </si>
  <si>
    <t>American Water Works Assocation (AWWA)</t>
  </si>
  <si>
    <t>Ventura County Special Districts Association (VCSDA)</t>
  </si>
  <si>
    <t>LAFCO (District mandated share of LAFCO expense)</t>
  </si>
  <si>
    <t xml:space="preserve">Association of  Water Agencies (AWA) </t>
  </si>
  <si>
    <t>California Special District Assocociation (CSDA)</t>
  </si>
  <si>
    <t>California Association of Sanitation Agencies (CASA)</t>
  </si>
  <si>
    <t>Office supplies for office and operations including, but not limited to: Printer &amp; fax cartridges, copy paper, checks, printers, monitors, office furniture, etc.</t>
  </si>
  <si>
    <t>Supplies</t>
  </si>
  <si>
    <t>Electronic Billing Software &amp; Support. District is charged on a per-transaction basis from vendor. Costs increase based on vendor rate and adoption by District customers.</t>
  </si>
  <si>
    <t>CUSI / Vanco / IVR</t>
  </si>
  <si>
    <t>Revenue Basis</t>
  </si>
  <si>
    <t>Communications services, District website, and advertising.</t>
  </si>
  <si>
    <t xml:space="preserve">Added Net2phone to Office phone system and small increases to other line items. </t>
  </si>
  <si>
    <t>Frontier</t>
  </si>
  <si>
    <t>Spectrum TV</t>
  </si>
  <si>
    <t>Hughesnet Sattelite</t>
  </si>
  <si>
    <t>Spectrum Internet</t>
  </si>
  <si>
    <t>AT&amp;T</t>
  </si>
  <si>
    <t>Streamline</t>
  </si>
  <si>
    <t>Net2Phone</t>
  </si>
  <si>
    <t>Miscellaneous</t>
  </si>
  <si>
    <t>Printing and binding expenses for envelopes, letterhead, business cards, billing statements and related envelopes. </t>
  </si>
  <si>
    <t>Printing Expenses</t>
  </si>
  <si>
    <t>Mailing costs for billing statements sent via metered postage and miscellaneous shipping via FedEx and UPS.</t>
  </si>
  <si>
    <t>Postage Expenses</t>
  </si>
  <si>
    <t>Postage machine, payroll, and check courier costs. Also includes miscellaneous office supplies, kitchen &amp; restroom supplies, newspaper subscriptions, employee recognition, luncheons and other miscellaneous expenses.</t>
  </si>
  <si>
    <t xml:space="preserve">Small increases per service except postal machine. </t>
  </si>
  <si>
    <t>Courier Service</t>
  </si>
  <si>
    <t>Postage machine rental</t>
  </si>
  <si>
    <t>Payroll Service</t>
  </si>
  <si>
    <t>Miscellaneous Office</t>
  </si>
  <si>
    <t>Utility charges for District office.</t>
  </si>
  <si>
    <t>Utilities</t>
  </si>
  <si>
    <t>Annual and monthly maintenance contract charges, service and miscellaneous parts and unanticipated repairs for equipment not covered by a contract.</t>
  </si>
  <si>
    <t>Reduction in Xerox charges.</t>
  </si>
  <si>
    <t>Radix Handheld Maintenance</t>
  </si>
  <si>
    <t>Image Source Maintenance</t>
  </si>
  <si>
    <t>Xerox Maintenance</t>
  </si>
  <si>
    <t>Small Printer Maintenance</t>
  </si>
  <si>
    <t>Folding Machine Maintenance</t>
  </si>
  <si>
    <t>General Capital Replacement</t>
  </si>
  <si>
    <t>Capital Replacement for small equipment items, under $15,000.</t>
  </si>
  <si>
    <t>Unit Cost</t>
  </si>
  <si>
    <t>Computers</t>
  </si>
  <si>
    <t>Vactor</t>
  </si>
  <si>
    <t>Rev. Water/Sewer</t>
  </si>
  <si>
    <t>Property and general liability insurance through Association of California Water Agencies/Joint Powers Insurance Authority (ACWA/JPIA). ACWA/JPIA has sent out notices of intent to raise premiums on all insurances by 10%.</t>
  </si>
  <si>
    <t>Small Increase in premiums.</t>
  </si>
  <si>
    <t>General Liability</t>
  </si>
  <si>
    <t>Additional Flood Coverage</t>
  </si>
  <si>
    <t>Fidelity Bond Coverage</t>
  </si>
  <si>
    <t>Professional legal services for District Counsel and Special Counsel.</t>
  </si>
  <si>
    <t>Special Counsel now co-representing PHWA. Work will still need to be done solely on behalf of District.</t>
  </si>
  <si>
    <t xml:space="preserve">A to Z Law - District Counsel </t>
  </si>
  <si>
    <t>Hollister &amp; Brace - Special Counsel</t>
  </si>
  <si>
    <t xml:space="preserve">Accounting services including staff training and support,  budget preparation, audit preparation and review, bond issues, LGFA preparation, 1099's, refinancing, contract analysis,  maintain fixed asset records, etc. </t>
  </si>
  <si>
    <t>Soares, Sandall, Bernacchi &amp; Petrovich, LLP</t>
  </si>
  <si>
    <t>Annual Audit</t>
  </si>
  <si>
    <t>Professional IT-related services and software subscriptions.</t>
  </si>
  <si>
    <t>Removed GIS Subscription and added Asset Management Program</t>
  </si>
  <si>
    <t>Asset Management Program/Sedaru</t>
  </si>
  <si>
    <t>CUSI Annual Support/Cloud Jumper Subscriptions</t>
  </si>
  <si>
    <t>Antivirus &amp; Web Security</t>
  </si>
  <si>
    <t>Adobe</t>
  </si>
  <si>
    <t>Microsoft</t>
  </si>
  <si>
    <t>IT Services and Consulting/Computer Purchase</t>
  </si>
  <si>
    <t>Professional Engineering Consulting Services not associated with an identified project in the Capital Improvement Program Budget. Fiscal Year Board approved increase to $75,000</t>
  </si>
  <si>
    <t>MKN and Associates</t>
  </si>
  <si>
    <t>Bank and Trustee Fees</t>
  </si>
  <si>
    <t>Expenses</t>
  </si>
  <si>
    <t xml:space="preserve">Professional services, including, but not limited to: framing, large format scanning, specialty printing, shredding, appraisals, various studies as needed and consultants. </t>
  </si>
  <si>
    <t>On call GIS services.</t>
  </si>
  <si>
    <t>Expenses incurred by public legal notices as required by State Law.</t>
  </si>
  <si>
    <t>Program is higher in election years and lower in non-election years.</t>
  </si>
  <si>
    <t>Public Notices</t>
  </si>
  <si>
    <t>Board Elections</t>
  </si>
  <si>
    <t>Ordinances and Notifications</t>
  </si>
  <si>
    <t>Customer Outreach and Public Information Costs</t>
  </si>
  <si>
    <t>Website Domain Fee</t>
  </si>
  <si>
    <t>Website Feature Design</t>
  </si>
  <si>
    <t>Additional Mailer</t>
  </si>
  <si>
    <t>Graphic Design Services for Outreach Materials</t>
  </si>
  <si>
    <t>Social Media Ad Buys</t>
  </si>
  <si>
    <t>Reverse 911 Services</t>
  </si>
  <si>
    <t>Laserfiche Subscription</t>
  </si>
  <si>
    <t>Miscellaneous Records Management</t>
  </si>
  <si>
    <t>General Notification Costs</t>
  </si>
  <si>
    <t>NON-RATE REVENUE</t>
  </si>
  <si>
    <t>Interest income from fund balances held with County Fund. Earnings are allocated at the end of the fiscal year based on interest earned by each Enterprise.</t>
  </si>
  <si>
    <t xml:space="preserve">Income based on market performance. </t>
  </si>
  <si>
    <t>Interest Earnings</t>
  </si>
  <si>
    <t>Revenue generated from late and delinquent payments.</t>
  </si>
  <si>
    <t>Majority of penalty revenue is used to offset Community Service activity costs. A portion of penalty revenue is allocated to each enterprise to cover costs of payment collection. There is no revenue for 2020-2021 due to Covid 19.</t>
  </si>
  <si>
    <t>Late Payment Revenue</t>
  </si>
  <si>
    <t>Custom 3</t>
  </si>
  <si>
    <t>District's portion of 1% Ad Valorem Property Tax collected from properties within District's service area. Funds are held by County of Ventura.</t>
  </si>
  <si>
    <t>Tax Income</t>
  </si>
  <si>
    <t>DEBT SERVICE</t>
  </si>
  <si>
    <t>Annual debt service for 2012 Water Revenue Bonds, initially issued for District's capacity share in PHWA. Debt service set to retire in FY 2021 - 2022. Payments are based on a predetermined debt schedule for the life of the bond.</t>
  </si>
  <si>
    <t>Final Payment for this Bond.</t>
  </si>
  <si>
    <t>Certificate of Participation</t>
  </si>
  <si>
    <t>Final Pymt.</t>
  </si>
  <si>
    <t>Annual debt service for 2016 Sewer Bonds. Payments are based on a predetermined debt schedule for the life of the bond until 2032. Bonds initially issued for rehabilitation of sewer forcemain along Victoria and Channel Islands Boulevard.</t>
  </si>
  <si>
    <t>Debt Service</t>
  </si>
  <si>
    <t>Annual debt service for Smart Meter Project loan through CSDA Financing Corp. Total loan amount of $700,000 is set at a 10-year term beginning in FY 2020 and expiring in FY 2029 at an interest rate of 3.4%.</t>
  </si>
  <si>
    <t xml:space="preserve"> </t>
  </si>
  <si>
    <t>OTHER</t>
  </si>
  <si>
    <t>Funds required from each Enterprise to fund Community Service activities.</t>
  </si>
  <si>
    <t>Required Allocation</t>
  </si>
  <si>
    <t>Budget vs. Actual</t>
  </si>
  <si>
    <t>Budget</t>
  </si>
  <si>
    <t>% Change</t>
  </si>
  <si>
    <t>Detail</t>
  </si>
  <si>
    <t>Adopted vs Proposed</t>
  </si>
  <si>
    <t>Page</t>
  </si>
  <si>
    <t>Budget item</t>
  </si>
  <si>
    <t>Follow up</t>
  </si>
  <si>
    <t>Sampling</t>
  </si>
  <si>
    <t>Pete will find how much the 30-home sampling costs</t>
  </si>
  <si>
    <t>Sewer R&amp;M</t>
  </si>
  <si>
    <t>Pete to investigate further</t>
  </si>
  <si>
    <t>Water R&amp;M</t>
  </si>
  <si>
    <t>Sewer Telemetry</t>
  </si>
  <si>
    <t>Pete to verify SCADA costs. CJ to allocate costs to line item to get new actual to date figure</t>
  </si>
  <si>
    <t>$9,600 per year for each water/Sewer $800 monthly</t>
  </si>
  <si>
    <t>Fleet maintenace</t>
  </si>
  <si>
    <t>Discuss Fleet Needs</t>
  </si>
  <si>
    <t>Asset replacement</t>
  </si>
  <si>
    <t>Pete to research crane truck costs</t>
  </si>
  <si>
    <t>Insurance</t>
  </si>
  <si>
    <t>CJ to check detail         Done</t>
  </si>
  <si>
    <t>Interest on Reserves</t>
  </si>
  <si>
    <t>CJ to check detail         Done</t>
  </si>
  <si>
    <t>csda loan</t>
  </si>
  <si>
    <t>Akbar to add detail</t>
  </si>
  <si>
    <t>Telemetry</t>
  </si>
  <si>
    <t>SCADA</t>
  </si>
  <si>
    <t>Count</t>
  </si>
  <si>
    <t>Within 10% of previous year</t>
  </si>
  <si>
    <t>Between 10% and 25%</t>
  </si>
  <si>
    <t>Over 25% above or below</t>
  </si>
  <si>
    <t>reg salaries with COLA and Step inc.</t>
  </si>
  <si>
    <t>20-21</t>
  </si>
  <si>
    <t>Overtime 19-20 FY #</t>
  </si>
  <si>
    <t>total for 20-21</t>
  </si>
  <si>
    <t>Annual pay over 500 hours</t>
  </si>
  <si>
    <t>Vacation Pay Out</t>
  </si>
  <si>
    <t>ACWA</t>
  </si>
  <si>
    <t>Association of California Water Agencies</t>
  </si>
  <si>
    <t>ACWA/JPIA</t>
  </si>
  <si>
    <t>Association of California Water Agencies Joint Powers Insurance Authority</t>
  </si>
  <si>
    <t>AMI</t>
  </si>
  <si>
    <t>Advanced Metering Infrastructure</t>
  </si>
  <si>
    <t>AWA</t>
  </si>
  <si>
    <t>Association of Water Agencies</t>
  </si>
  <si>
    <t>AWWA</t>
  </si>
  <si>
    <t>American Water Works Association</t>
  </si>
  <si>
    <t>CalPERS</t>
  </si>
  <si>
    <t>California Public Employees Retirement System</t>
  </si>
  <si>
    <t>CASA</t>
  </si>
  <si>
    <t>California Association of Sanitation Agencies</t>
  </si>
  <si>
    <t>CCC</t>
  </si>
  <si>
    <t>Cross Connection Compliance</t>
  </si>
  <si>
    <t>CCTV</t>
  </si>
  <si>
    <t>Closed Circuit Television</t>
  </si>
  <si>
    <t>CCWUA</t>
  </si>
  <si>
    <t>Channel Counties Water Utilities Agency</t>
  </si>
  <si>
    <t>CIBERT</t>
  </si>
  <si>
    <t>Channel Islands Beach Emergency Response Team</t>
  </si>
  <si>
    <t>CIP</t>
  </si>
  <si>
    <t>Capital Improvement Budget</t>
  </si>
  <si>
    <t>Cost of Living Adjustment</t>
  </si>
  <si>
    <t>CSDA</t>
  </si>
  <si>
    <t>California Special Districts Association</t>
  </si>
  <si>
    <t>CWEA</t>
  </si>
  <si>
    <t>California Water Environment Association</t>
  </si>
  <si>
    <t>FY</t>
  </si>
  <si>
    <t>Fiscal Year</t>
  </si>
  <si>
    <t>LAFCO</t>
  </si>
  <si>
    <t>Local Agency Formation Commission</t>
  </si>
  <si>
    <t>LGFA</t>
  </si>
  <si>
    <t>Local Government Finance Act</t>
  </si>
  <si>
    <t>MOU</t>
  </si>
  <si>
    <t>Memorandum of Understanding</t>
  </si>
  <si>
    <t>NASSCO</t>
  </si>
  <si>
    <t>National Association of Sewer Service Companies</t>
  </si>
  <si>
    <t>Port Hueneme Water Agency</t>
  </si>
  <si>
    <t>R &amp; M</t>
  </si>
  <si>
    <t>Repair &amp; Maintenance</t>
  </si>
  <si>
    <t>Supervisory Control and Data Acquisition</t>
  </si>
  <si>
    <t>SDHS</t>
  </si>
  <si>
    <t>State Department of Health Services</t>
  </si>
  <si>
    <t>SWRCB</t>
  </si>
  <si>
    <t>State Water Resources Control Board</t>
  </si>
  <si>
    <t>VCEHD</t>
  </si>
  <si>
    <t>Ventura County Environmental Health Division</t>
  </si>
  <si>
    <t>VCSDA</t>
  </si>
  <si>
    <t>Ventura County Special Districts Association</t>
  </si>
  <si>
    <t>WAN</t>
  </si>
  <si>
    <t>Wide Area Network</t>
  </si>
  <si>
    <t>WPD</t>
  </si>
  <si>
    <t>Watershed Protection District</t>
  </si>
  <si>
    <t>High Level</t>
  </si>
  <si>
    <t>Operating Budget</t>
  </si>
  <si>
    <t>Capital Improvement Program</t>
  </si>
  <si>
    <t>Enterprise</t>
  </si>
  <si>
    <t>Fund Balance</t>
  </si>
  <si>
    <t>Capital Reserve</t>
  </si>
  <si>
    <t>Operating Reserve</t>
  </si>
  <si>
    <t>Rate Stabilization Reserve</t>
  </si>
  <si>
    <t>Beginning Balance</t>
  </si>
  <si>
    <t>Ending Balance</t>
  </si>
  <si>
    <t>Accounting</t>
  </si>
  <si>
    <t>Operating Revenues</t>
  </si>
  <si>
    <t>Operating Expenses</t>
  </si>
  <si>
    <t>Net Operating Income</t>
  </si>
  <si>
    <t>Other Revenues</t>
  </si>
  <si>
    <t>Reserves</t>
  </si>
  <si>
    <t>Reserve Contribution</t>
  </si>
  <si>
    <t>Unrestricted</t>
  </si>
  <si>
    <t>Board Restricted</t>
  </si>
  <si>
    <t>Outside Restricted</t>
  </si>
  <si>
    <t>Timeline</t>
  </si>
  <si>
    <t>Line</t>
  </si>
  <si>
    <t>Project No.</t>
  </si>
  <si>
    <t>Capital Project</t>
  </si>
  <si>
    <t>Expended</t>
  </si>
  <si>
    <t>Carryover</t>
  </si>
  <si>
    <t>FYE 2022</t>
  </si>
  <si>
    <t>FYE 2023</t>
  </si>
  <si>
    <t>FYE 2024</t>
  </si>
  <si>
    <t>FYE 2025</t>
  </si>
  <si>
    <t>FYE 2026</t>
  </si>
  <si>
    <t>FY 2026</t>
  </si>
  <si>
    <t>5-Year Total</t>
  </si>
  <si>
    <t>Notes</t>
  </si>
  <si>
    <t>CI 101</t>
  </si>
  <si>
    <t>Easement Risk Mitigation Projects</t>
  </si>
  <si>
    <t>Need to review cost estimates</t>
  </si>
  <si>
    <t>CI 102</t>
  </si>
  <si>
    <t>Wharf Head Removal</t>
  </si>
  <si>
    <t>CI 103</t>
  </si>
  <si>
    <t>PHWA Improvements</t>
  </si>
  <si>
    <t>Shot in the dark at this point</t>
  </si>
  <si>
    <t>CI 104</t>
  </si>
  <si>
    <t xml:space="preserve">Water Distribution Improvements </t>
  </si>
  <si>
    <t>CI 105</t>
  </si>
  <si>
    <t>Valve Replacement</t>
  </si>
  <si>
    <t>CI 106</t>
  </si>
  <si>
    <t>Water Supply Upgrades</t>
  </si>
  <si>
    <t>CI 107</t>
  </si>
  <si>
    <t>Long Term Water Supply Planning</t>
  </si>
  <si>
    <t>Condition Assessment will inform</t>
  </si>
  <si>
    <t>CI 108</t>
  </si>
  <si>
    <t>Fire Flow Improvements</t>
  </si>
  <si>
    <t>CI 109</t>
  </si>
  <si>
    <t xml:space="preserve">Water Emergency Response Plan </t>
  </si>
  <si>
    <t>Review OWTP Repair Allocation</t>
  </si>
  <si>
    <t>CI 201</t>
  </si>
  <si>
    <t>I&amp;I Reduction- Main &amp; Manhole Impr.</t>
  </si>
  <si>
    <t>CI 202</t>
  </si>
  <si>
    <t>Sewer Lift Station and PS Rehab</t>
  </si>
  <si>
    <t>Based on architect plans</t>
  </si>
  <si>
    <t>CI 203</t>
  </si>
  <si>
    <t>Sewer Improvement Projects</t>
  </si>
  <si>
    <t>CI 204</t>
  </si>
  <si>
    <t>Pump Station B Replacement</t>
  </si>
  <si>
    <t>CI 205</t>
  </si>
  <si>
    <t>Oxnard Wastewater Plant Impr.</t>
  </si>
  <si>
    <t>CI 206</t>
  </si>
  <si>
    <t xml:space="preserve">CCTV Video Inspection Program </t>
  </si>
  <si>
    <t>CI 401</t>
  </si>
  <si>
    <t xml:space="preserve">Yard and Building Improvements </t>
  </si>
  <si>
    <t>CI 402</t>
  </si>
  <si>
    <t xml:space="preserve">Asset Management Program </t>
  </si>
  <si>
    <t>CI 403</t>
  </si>
  <si>
    <t>Vehicle Replacement Program</t>
  </si>
  <si>
    <t>How much to organize existing video?</t>
  </si>
  <si>
    <t>MI 401</t>
  </si>
  <si>
    <t>Water &amp; Sewer Rate Study</t>
  </si>
  <si>
    <t>Placeholder Project</t>
  </si>
  <si>
    <t>Water Enterprise</t>
  </si>
  <si>
    <t>Beginning Capital Reserve Balance</t>
  </si>
  <si>
    <t>Planned Capital Expenditures</t>
  </si>
  <si>
    <t>Ending Capital Reserve Balance</t>
  </si>
  <si>
    <t>Minimum Capital Reserve Balance</t>
  </si>
  <si>
    <t>Sewer Enterprise</t>
  </si>
  <si>
    <t>J2</t>
  </si>
  <si>
    <t>K2</t>
  </si>
  <si>
    <t>L2</t>
  </si>
  <si>
    <t>M2</t>
  </si>
  <si>
    <t>J3</t>
  </si>
  <si>
    <t>J4</t>
  </si>
  <si>
    <t>J5</t>
  </si>
  <si>
    <t>J6</t>
  </si>
  <si>
    <t>Percent</t>
  </si>
  <si>
    <t>Solid Waste Enterprise</t>
  </si>
  <si>
    <t>Community Service</t>
  </si>
  <si>
    <t>Sheet No.</t>
  </si>
  <si>
    <t>Account</t>
  </si>
  <si>
    <t>$</t>
  </si>
  <si>
    <t>%</t>
  </si>
  <si>
    <t>OPERATING REVENUES</t>
  </si>
  <si>
    <t/>
  </si>
  <si>
    <t>Rate Revenues</t>
  </si>
  <si>
    <t>Water Revenue</t>
  </si>
  <si>
    <t>Sewer Revenue</t>
  </si>
  <si>
    <t>Solid Waste Revenue</t>
  </si>
  <si>
    <t>OPERATING EXPENSES</t>
  </si>
  <si>
    <t>Water System Expense</t>
  </si>
  <si>
    <t>PHWA Water Contract</t>
  </si>
  <si>
    <t>Water Sampling</t>
  </si>
  <si>
    <t>SWRCB Annual Admin Fee</t>
  </si>
  <si>
    <t>Annual Water Quality Report</t>
  </si>
  <si>
    <t>Cross Connect Contract Charge</t>
  </si>
  <si>
    <t>Water Repair &amp; Maintenance</t>
  </si>
  <si>
    <t>Sewer System Expense</t>
  </si>
  <si>
    <t>Wastewater Transportation</t>
  </si>
  <si>
    <t>Sewer Repair &amp; Maintenance</t>
  </si>
  <si>
    <t>Power</t>
  </si>
  <si>
    <t>Trash Expense</t>
  </si>
  <si>
    <t>Contract Trash Services</t>
  </si>
  <si>
    <t>Maintenance Expenses</t>
  </si>
  <si>
    <t>Gasoline</t>
  </si>
  <si>
    <t>Vehicle Maintenance</t>
  </si>
  <si>
    <t>Building Security</t>
  </si>
  <si>
    <t>Building Maintenance</t>
  </si>
  <si>
    <t>Signs &amp; Banners</t>
  </si>
  <si>
    <t>Public Landscaping</t>
  </si>
  <si>
    <t>Employee Workplace Safety</t>
  </si>
  <si>
    <t>Emergency Preparedness</t>
  </si>
  <si>
    <t>Salaries &amp; Benefits</t>
  </si>
  <si>
    <t>Regular Salaries</t>
  </si>
  <si>
    <t>Group Insurance</t>
  </si>
  <si>
    <t>Retirement Benefits</t>
  </si>
  <si>
    <t>Uniforms</t>
  </si>
  <si>
    <t>Workers' Comp Insurance</t>
  </si>
  <si>
    <t>Employee Education</t>
  </si>
  <si>
    <t>Administrative Expenses</t>
  </si>
  <si>
    <t>Regular Board Payments</t>
  </si>
  <si>
    <t>Special Board Meetings</t>
  </si>
  <si>
    <t>Board/ Committee Expenses</t>
  </si>
  <si>
    <t>Board Conferences &amp; Seminars</t>
  </si>
  <si>
    <t>Travel &amp; Lodging</t>
  </si>
  <si>
    <t>District Dues &amp; Memberships</t>
  </si>
  <si>
    <t>Office Supplies</t>
  </si>
  <si>
    <t>On-Line Bill Paying</t>
  </si>
  <si>
    <t>Communications</t>
  </si>
  <si>
    <t>Printing &amp; Publications</t>
  </si>
  <si>
    <t>Postage &amp; Shipping</t>
  </si>
  <si>
    <t>Miscellaneous Office Expense</t>
  </si>
  <si>
    <t>Office Utilities</t>
  </si>
  <si>
    <t>Office Equipment Maintenance</t>
  </si>
  <si>
    <t>Capital Replacement</t>
  </si>
  <si>
    <t>Legal Services</t>
  </si>
  <si>
    <t>Accounting Services</t>
  </si>
  <si>
    <t>Computer Services &amp; Subscriptions</t>
  </si>
  <si>
    <t>Engineering Services</t>
  </si>
  <si>
    <t>Bank &amp; Trustee Fees</t>
  </si>
  <si>
    <t>Other Professional Services</t>
  </si>
  <si>
    <t>Legal Notices Publication</t>
  </si>
  <si>
    <t>Public Information &amp; Outreach</t>
  </si>
  <si>
    <t>TOTAL OPERATING EXPENSES</t>
  </si>
  <si>
    <t>NET OPERATING INCOME</t>
  </si>
  <si>
    <t>OTHER REVENUES</t>
  </si>
  <si>
    <t>Penalty Revenue</t>
  </si>
  <si>
    <t>Secured &amp; Unsecured Taxes</t>
  </si>
  <si>
    <t>TOTAL OTHER REVENUES</t>
  </si>
  <si>
    <t>DEBT OBLIGATIONS</t>
  </si>
  <si>
    <t>2012 Water Revenue Bonds</t>
  </si>
  <si>
    <t>2016 Sewer Refunding Bonds</t>
  </si>
  <si>
    <t>CSDA Loan - Smart Meter Project</t>
  </si>
  <si>
    <t>TOTAL DEBT OBLIGATION</t>
  </si>
  <si>
    <t>OTHER BUDGET ITEMS</t>
  </si>
  <si>
    <t>Allocation of Community Service</t>
  </si>
  <si>
    <t>N/A</t>
  </si>
  <si>
    <t>TOTAL OTHER BUDGET ITEMS</t>
  </si>
  <si>
    <t>AVAILABLE FOR CAPITAL &amp; RESERVES</t>
  </si>
  <si>
    <t>RESERVE CONTRIBUTIONS</t>
  </si>
  <si>
    <t>Solid Waste</t>
  </si>
  <si>
    <t>Community Reserves</t>
  </si>
  <si>
    <t>Water Operations Reserve</t>
  </si>
  <si>
    <t>Water Rate Stabilization</t>
  </si>
  <si>
    <t>Water Capital Reserve</t>
  </si>
  <si>
    <t>Sewer Operations Reserve</t>
  </si>
  <si>
    <t>Sewer Rate Stabilization</t>
  </si>
  <si>
    <t>Sewer Capital Reserve</t>
  </si>
  <si>
    <t>Solid Waste Operations Reserve</t>
  </si>
  <si>
    <t>Solid Waste Rate Stabilization</t>
  </si>
  <si>
    <t>Solid Waste Capital Reserve</t>
  </si>
  <si>
    <t>AVAILABLE AFTER RESERVE CONTRIBUTIONS</t>
  </si>
  <si>
    <t>Agency Name:</t>
  </si>
  <si>
    <t>Budget Start Year:</t>
  </si>
  <si>
    <t>Budget End Year:</t>
  </si>
  <si>
    <t>Actuals Through:</t>
  </si>
  <si>
    <t>Enterprise Selection</t>
  </si>
  <si>
    <t>Allocation Method</t>
  </si>
  <si>
    <t>Expense Basis</t>
  </si>
  <si>
    <t>Custom 4</t>
  </si>
  <si>
    <t>Custom 5</t>
  </si>
  <si>
    <t>Custom 6</t>
  </si>
  <si>
    <t>Custom 7</t>
  </si>
  <si>
    <t>Custom 8</t>
  </si>
  <si>
    <t>Custom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</si>
</sst>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44" formatCode="_(&quot;$&quot;* #,##0.00_);_(&quot;$&quot;* \(#,##0.00\);_(&quot;$&quot;* &quot;-&quot;??_);_(@_)"/>
    <numFmt numFmtId="164" formatCode="&quot;$&quot;#,##0"/>
    <numFmt numFmtId="165" formatCode="&quot;$&quot;#,##0;[Red]&quot;$&quot;#,##0"/>
    <numFmt numFmtId="166" formatCode="&quot;$&quot;#,##0.00"/>
    <numFmt numFmtId="167" formatCode="0.0000000%"/>
    <numFmt numFmtId="168" formatCode="_(&quot;$&quot;* #,##0_);_(&quot;$&quot;* \(#,##0\);_(&quot;$&quot;* &quot;-&quot;??_);_(@_)"/>
    <numFmt numFmtId="169" formatCode="&quot;FY &quot;#"/>
    <numFmt numFmtId="170" formatCode="0.0%"/>
  </numFmts>
  <fonts count="50">
    <font>
      <sz val="10"/>
      <name val="Arial"/>
    </font>
    <font>
      <sz val="11"/>
      <color theme="1"/>
      <name val="Calibri"/>
      <family val="2"/>
      <scheme val="minor"/>
    </font>
    <font>
      <sz val="11"/>
      <color theme="1"/>
      <name val="Calibri"/>
      <family val="2"/>
      <scheme val="minor"/>
    </font>
    <font>
      <b/>
      <sz val="18"/>
      <name val="Arial"/>
      <family val="2"/>
    </font>
    <font>
      <b/>
      <sz val="12"/>
      <name val="Arial"/>
      <family val="2"/>
    </font>
    <font>
      <b/>
      <sz val="10"/>
      <name val="Arial"/>
      <family val="2"/>
    </font>
    <font>
      <sz val="9"/>
      <name val="Arial"/>
      <family val="2"/>
    </font>
    <font>
      <sz val="8"/>
      <name val="Arial"/>
      <family val="2"/>
    </font>
    <font>
      <b/>
      <sz val="9"/>
      <name val="Arial"/>
      <family val="2"/>
    </font>
    <font>
      <b/>
      <i/>
      <sz val="12"/>
      <name val="Arial"/>
      <family val="2"/>
    </font>
    <font>
      <u/>
      <sz val="10"/>
      <name val="Arial"/>
      <family val="2"/>
    </font>
    <font>
      <sz val="10"/>
      <name val="Arial"/>
      <family val="2"/>
    </font>
    <font>
      <sz val="12"/>
      <name val="Univers"/>
      <family val="2"/>
    </font>
    <font>
      <sz val="10"/>
      <color rgb="FFFF0000"/>
      <name val="Arial"/>
      <family val="2"/>
    </font>
    <font>
      <sz val="10"/>
      <color rgb="FF0070C0"/>
      <name val="Arial"/>
      <family val="2"/>
    </font>
    <font>
      <sz val="10"/>
      <name val="Arial"/>
      <family val="2"/>
    </font>
    <font>
      <sz val="10"/>
      <color theme="9" tint="-0.249977111117893"/>
      <name val="Arial"/>
      <family val="2"/>
    </font>
    <font>
      <b/>
      <sz val="9"/>
      <color theme="0"/>
      <name val="Arial"/>
      <family val="2"/>
    </font>
    <font>
      <b/>
      <i/>
      <sz val="9"/>
      <color theme="0" tint="-4.9989318521683403E-2"/>
      <name val="Calibri"/>
      <family val="2"/>
      <scheme val="minor"/>
    </font>
    <font>
      <b/>
      <i/>
      <sz val="9"/>
      <name val="Arial"/>
      <family val="2"/>
    </font>
    <font>
      <b/>
      <sz val="9"/>
      <color theme="0" tint="-4.9989318521683403E-2"/>
      <name val="Arial"/>
      <family val="2"/>
    </font>
    <font>
      <i/>
      <sz val="8"/>
      <color rgb="FF0083C0"/>
      <name val="Arial"/>
      <family val="2"/>
    </font>
    <font>
      <sz val="8"/>
      <color theme="0" tint="-0.14999847407452621"/>
      <name val="Arial"/>
      <family val="2"/>
    </font>
    <font>
      <b/>
      <sz val="9"/>
      <color rgb="FF0083C0"/>
      <name val="Arial"/>
      <family val="2"/>
    </font>
    <font>
      <b/>
      <sz val="11"/>
      <color theme="0"/>
      <name val="Calibri"/>
      <family val="2"/>
      <scheme val="minor"/>
    </font>
    <font>
      <sz val="11"/>
      <color theme="0"/>
      <name val="Calibri"/>
      <family val="2"/>
      <scheme val="minor"/>
    </font>
    <font>
      <sz val="9"/>
      <color theme="0"/>
      <name val="Arial"/>
      <family val="2"/>
    </font>
    <font>
      <sz val="11"/>
      <color theme="1"/>
      <name val="Calibri"/>
      <family val="2"/>
    </font>
    <font>
      <i/>
      <sz val="11"/>
      <color theme="1"/>
      <name val="Calibri"/>
      <family val="2"/>
      <scheme val="minor"/>
    </font>
    <font>
      <b/>
      <sz val="11"/>
      <color theme="1"/>
      <name val="Calibri"/>
      <family val="2"/>
      <scheme val="minor"/>
    </font>
    <font>
      <sz val="11"/>
      <color rgb="FF0070C0"/>
      <name val="Calibri"/>
      <family val="2"/>
      <scheme val="minor"/>
    </font>
    <font>
      <sz val="18"/>
      <name val="Arial"/>
      <family val="2"/>
    </font>
    <font>
      <b/>
      <sz val="14"/>
      <color theme="0"/>
      <name val="Arial"/>
      <family val="2"/>
    </font>
    <font>
      <sz val="11"/>
      <name val="Calibri"/>
      <family val="2"/>
      <scheme val="minor"/>
    </font>
    <font>
      <b/>
      <sz val="10"/>
      <color theme="0"/>
      <name val="Arial"/>
      <family val="2"/>
    </font>
    <font>
      <sz val="10"/>
      <color theme="0"/>
      <name val="Arial"/>
      <family val="2"/>
    </font>
    <font>
      <sz val="10"/>
      <color rgb="FF000000"/>
      <name val="Arial"/>
      <family val="2"/>
    </font>
    <font>
      <sz val="9"/>
      <color rgb="FFFF0000"/>
      <name val="Arial"/>
      <family val="2"/>
    </font>
    <font>
      <b/>
      <sz val="28"/>
      <color rgb="FFFF0000"/>
      <name val="Calibri"/>
      <family val="2"/>
      <scheme val="minor"/>
    </font>
    <font>
      <sz val="9"/>
      <color rgb="FF0083C0"/>
      <name val="Arial"/>
      <family val="2"/>
    </font>
    <font>
      <b/>
      <sz val="12"/>
      <color rgb="FF0083C0"/>
      <name val="Arial"/>
      <family val="2"/>
    </font>
    <font>
      <sz val="10"/>
      <color theme="0" tint="-0.14999847407452621"/>
      <name val="Arial"/>
      <family val="2"/>
    </font>
    <font>
      <b/>
      <sz val="9"/>
      <color rgb="FFFF0000"/>
      <name val="Arial"/>
      <family val="2"/>
    </font>
    <font>
      <b/>
      <i/>
      <sz val="9"/>
      <color rgb="FFFF0000"/>
      <name val="Arial"/>
      <family val="2"/>
    </font>
    <font>
      <sz val="9"/>
      <color rgb="FF000000"/>
      <name val="Arial"/>
      <family val="2"/>
    </font>
    <font>
      <sz val="11"/>
      <color rgb="FFFF0000"/>
      <name val="Calibri"/>
      <family val="2"/>
      <scheme val="minor"/>
    </font>
    <font>
      <sz val="11"/>
      <color rgb="FF000000"/>
      <name val="Calibri"/>
      <family val="2"/>
      <scheme val="minor"/>
    </font>
    <font>
      <b/>
      <sz val="18"/>
      <color rgb="FFFF0000"/>
      <name val="Arial"/>
      <family val="2"/>
    </font>
    <font>
      <sz val="9"/>
      <color rgb="FFC00000"/>
      <name val="Arial"/>
      <family val="2"/>
    </font>
    <font>
      <sz val="11"/>
      <color rgb="FF000000"/>
      <name val="Calibri"/>
      <family val="2"/>
    </font>
  </fonts>
  <fills count="17">
    <fill>
      <patternFill patternType="none"/>
    </fill>
    <fill>
      <patternFill patternType="gray125"/>
    </fill>
    <fill>
      <patternFill patternType="solid">
        <fgColor rgb="FFFFFFCC"/>
        <bgColor indexed="64"/>
      </patternFill>
    </fill>
    <fill>
      <patternFill patternType="solid">
        <fgColor rgb="FF0083C0"/>
        <bgColor indexed="64"/>
      </patternFill>
    </fill>
    <fill>
      <patternFill patternType="solid">
        <fgColor theme="0" tint="-0.14999847407452621"/>
        <bgColor indexed="64"/>
      </patternFill>
    </fill>
    <fill>
      <gradientFill degree="90">
        <stop position="0">
          <color rgb="FFFFFFEB"/>
        </stop>
        <stop position="1">
          <color rgb="FFFFFFCC"/>
        </stop>
      </gradientFill>
    </fill>
    <fill>
      <patternFill patternType="solid">
        <fgColor theme="0" tint="-0.14999847407452621"/>
        <bgColor auto="1"/>
      </patternFill>
    </fill>
    <fill>
      <patternFill patternType="solid">
        <fgColor theme="5" tint="-0.249977111117893"/>
        <bgColor indexed="64"/>
      </patternFill>
    </fill>
    <fill>
      <patternFill patternType="solid">
        <fgColor rgb="FFFFFF00"/>
        <bgColor indexed="64"/>
      </patternFill>
    </fill>
    <fill>
      <patternFill patternType="solid">
        <fgColor theme="1"/>
        <bgColor indexed="64"/>
      </patternFill>
    </fill>
    <fill>
      <patternFill patternType="solid">
        <fgColor rgb="FFFFFFFF"/>
        <bgColor indexed="64"/>
      </patternFill>
    </fill>
    <fill>
      <patternFill patternType="solid">
        <fgColor rgb="FFD9D9D9"/>
        <bgColor indexed="64"/>
      </patternFill>
    </fill>
    <fill>
      <patternFill patternType="solid">
        <fgColor rgb="FFD9E1F2"/>
        <bgColor rgb="FF000000"/>
      </patternFill>
    </fill>
    <fill>
      <patternFill patternType="solid">
        <fgColor rgb="FFE2EFDA"/>
        <bgColor rgb="FF000000"/>
      </patternFill>
    </fill>
    <fill>
      <patternFill patternType="solid">
        <fgColor rgb="FFF2F2F2"/>
        <bgColor rgb="FF000000"/>
      </patternFill>
    </fill>
    <fill>
      <patternFill patternType="solid">
        <fgColor rgb="FFD9E1F2"/>
        <bgColor indexed="64"/>
      </patternFill>
    </fill>
    <fill>
      <patternFill patternType="solid">
        <fgColor rgb="FFE2EFDA"/>
        <bgColor indexed="64"/>
      </patternFill>
    </fill>
  </fills>
  <borders count="22">
    <border>
      <left/>
      <right/>
      <top/>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diagonal/>
    </border>
    <border>
      <left/>
      <right style="medium">
        <color rgb="FF0083C0"/>
      </right>
      <top/>
      <bottom/>
      <diagonal/>
    </border>
    <border>
      <left style="medium">
        <color rgb="FF0083C0"/>
      </left>
      <right style="medium">
        <color rgb="FF0083C0"/>
      </right>
      <top/>
      <bottom/>
      <diagonal/>
    </border>
    <border>
      <left style="medium">
        <color rgb="FF0083C0"/>
      </left>
      <right/>
      <top/>
      <bottom/>
      <diagonal/>
    </border>
    <border>
      <left style="medium">
        <color rgb="FF0083C0"/>
      </left>
      <right/>
      <top style="thin">
        <color indexed="64"/>
      </top>
      <bottom style="double">
        <color indexed="64"/>
      </bottom>
      <diagonal/>
    </border>
    <border>
      <left/>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rgb="FF000000"/>
      </top>
      <bottom style="double">
        <color rgb="FF000000"/>
      </bottom>
      <diagonal/>
    </border>
    <border>
      <left style="thin">
        <color indexed="64"/>
      </left>
      <right/>
      <top/>
      <bottom style="thin">
        <color indexed="64"/>
      </bottom>
      <diagonal/>
    </border>
    <border>
      <left style="thin">
        <color indexed="64"/>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14">
    <xf numFmtId="0" fontId="0" fillId="0" borderId="0">
      <alignment vertical="top"/>
    </xf>
    <xf numFmtId="4" fontId="11" fillId="0" borderId="0" applyFont="0" applyFill="0" applyBorder="0" applyAlignment="0" applyProtection="0"/>
    <xf numFmtId="3" fontId="11"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2" fontId="11" fillId="0" borderId="0" applyFont="0" applyFill="0" applyBorder="0" applyAlignment="0" applyProtection="0"/>
    <xf numFmtId="0" fontId="3" fillId="0" borderId="0" applyFont="0" applyFill="0" applyBorder="0" applyAlignment="0" applyProtection="0"/>
    <xf numFmtId="0" fontId="4" fillId="0" borderId="0" applyFont="0" applyFill="0" applyBorder="0" applyAlignment="0" applyProtection="0"/>
    <xf numFmtId="0" fontId="11" fillId="0" borderId="0"/>
    <xf numFmtId="10" fontId="11" fillId="0" borderId="0" applyFont="0" applyFill="0" applyBorder="0" applyAlignment="0" applyProtection="0"/>
    <xf numFmtId="0" fontId="11" fillId="0" borderId="0" applyFont="0" applyFill="0" applyBorder="0" applyAlignment="0" applyProtection="0"/>
    <xf numFmtId="44" fontId="15" fillId="0" borderId="0" applyFont="0" applyFill="0" applyBorder="0" applyAlignment="0" applyProtection="0"/>
    <xf numFmtId="0" fontId="2" fillId="0" borderId="0"/>
    <xf numFmtId="9" fontId="2" fillId="0" borderId="0" applyFont="0" applyFill="0" applyBorder="0" applyAlignment="0" applyProtection="0"/>
  </cellStyleXfs>
  <cellXfs count="327">
    <xf numFmtId="0" fontId="0" fillId="0" borderId="0" xfId="0" applyAlignment="1"/>
    <xf numFmtId="0" fontId="8" fillId="0" borderId="0" xfId="0" applyFont="1" applyAlignment="1"/>
    <xf numFmtId="0" fontId="6" fillId="0" borderId="0" xfId="0" applyFont="1" applyAlignment="1"/>
    <xf numFmtId="0" fontId="5" fillId="0" borderId="0" xfId="0" applyFont="1" applyAlignment="1"/>
    <xf numFmtId="37" fontId="0" fillId="0" borderId="0" xfId="0" applyNumberFormat="1" applyAlignment="1"/>
    <xf numFmtId="0" fontId="11" fillId="0" borderId="0" xfId="0" applyFont="1" applyAlignment="1"/>
    <xf numFmtId="0" fontId="13" fillId="0" borderId="0" xfId="0" applyFont="1" applyAlignment="1"/>
    <xf numFmtId="0" fontId="12" fillId="0" borderId="0" xfId="8" applyFont="1"/>
    <xf numFmtId="0" fontId="11" fillId="0" borderId="0" xfId="8"/>
    <xf numFmtId="0" fontId="11" fillId="0" borderId="0" xfId="8" applyFont="1"/>
    <xf numFmtId="0" fontId="11" fillId="0" borderId="0" xfId="8" applyAlignment="1">
      <alignment horizontal="center"/>
    </xf>
    <xf numFmtId="6" fontId="11" fillId="0" borderId="0" xfId="8" applyNumberFormat="1"/>
    <xf numFmtId="14" fontId="11" fillId="0" borderId="0" xfId="8" applyNumberFormat="1"/>
    <xf numFmtId="164" fontId="11" fillId="0" borderId="0" xfId="8" applyNumberFormat="1"/>
    <xf numFmtId="6" fontId="11" fillId="0" borderId="2" xfId="8" applyNumberFormat="1" applyBorder="1"/>
    <xf numFmtId="165" fontId="11" fillId="0" borderId="0" xfId="8" applyNumberFormat="1"/>
    <xf numFmtId="0" fontId="5" fillId="0" borderId="0" xfId="8" applyFont="1"/>
    <xf numFmtId="6" fontId="11" fillId="0" borderId="1" xfId="8" applyNumberFormat="1" applyFont="1" applyBorder="1"/>
    <xf numFmtId="6" fontId="11" fillId="0" borderId="0" xfId="8" applyNumberFormat="1" applyBorder="1"/>
    <xf numFmtId="5" fontId="11" fillId="0" borderId="0" xfId="8" applyNumberFormat="1" applyBorder="1"/>
    <xf numFmtId="37" fontId="11" fillId="0" borderId="0" xfId="0" applyNumberFormat="1" applyFont="1" applyBorder="1" applyAlignment="1">
      <alignment horizontal="right"/>
    </xf>
    <xf numFmtId="0" fontId="5" fillId="0" borderId="0" xfId="0" applyFont="1" applyAlignment="1">
      <alignment horizontal="right"/>
    </xf>
    <xf numFmtId="0" fontId="11" fillId="0" borderId="0" xfId="0" applyFont="1" applyFill="1" applyBorder="1" applyAlignment="1"/>
    <xf numFmtId="0" fontId="5" fillId="0" borderId="0" xfId="0" applyFont="1" applyAlignment="1">
      <alignment horizontal="center"/>
    </xf>
    <xf numFmtId="0" fontId="11" fillId="0" borderId="0" xfId="8" applyFill="1"/>
    <xf numFmtId="0" fontId="11" fillId="0" borderId="0" xfId="0" applyFont="1" applyFill="1" applyBorder="1" applyAlignment="1">
      <alignment horizontal="left" indent="2"/>
    </xf>
    <xf numFmtId="166" fontId="11" fillId="0" borderId="0" xfId="8" applyNumberFormat="1"/>
    <xf numFmtId="0" fontId="10" fillId="0" borderId="0" xfId="8" applyFont="1"/>
    <xf numFmtId="4" fontId="11" fillId="0" borderId="0" xfId="8" applyNumberFormat="1"/>
    <xf numFmtId="0" fontId="14" fillId="0" borderId="0" xfId="8" applyFont="1"/>
    <xf numFmtId="0" fontId="11" fillId="0" borderId="0" xfId="8" applyAlignment="1">
      <alignment horizontal="right"/>
    </xf>
    <xf numFmtId="9" fontId="0" fillId="0" borderId="0" xfId="9" applyNumberFormat="1" applyFont="1" applyAlignment="1"/>
    <xf numFmtId="9" fontId="16" fillId="2" borderId="0" xfId="9" applyNumberFormat="1" applyFont="1" applyFill="1" applyAlignment="1"/>
    <xf numFmtId="1" fontId="16" fillId="2" borderId="0" xfId="9" applyNumberFormat="1" applyFont="1" applyFill="1" applyAlignment="1">
      <alignment horizontal="center"/>
    </xf>
    <xf numFmtId="14" fontId="16" fillId="2" borderId="0" xfId="9" applyNumberFormat="1" applyFont="1" applyFill="1" applyAlignment="1">
      <alignment horizontal="center"/>
    </xf>
    <xf numFmtId="168" fontId="5" fillId="0" borderId="0" xfId="0" applyNumberFormat="1" applyFont="1" applyAlignment="1"/>
    <xf numFmtId="1" fontId="17" fillId="3" borderId="0" xfId="0" applyNumberFormat="1" applyFont="1" applyFill="1" applyAlignment="1">
      <alignment vertical="center"/>
    </xf>
    <xf numFmtId="0" fontId="6" fillId="3" borderId="0" xfId="0" applyFont="1" applyFill="1" applyAlignment="1">
      <alignment vertical="center"/>
    </xf>
    <xf numFmtId="0" fontId="17" fillId="3" borderId="0" xfId="0" applyFont="1" applyFill="1" applyAlignment="1">
      <alignment vertical="center"/>
    </xf>
    <xf numFmtId="0" fontId="18" fillId="3" borderId="0" xfId="0" applyFont="1" applyFill="1" applyAlignment="1">
      <alignment horizontal="right" vertical="center"/>
    </xf>
    <xf numFmtId="0" fontId="6" fillId="0" borderId="0" xfId="0" applyFont="1" applyAlignment="1">
      <alignment vertical="center"/>
    </xf>
    <xf numFmtId="0" fontId="8" fillId="0" borderId="0" xfId="0" applyFont="1" applyAlignment="1">
      <alignment vertical="center"/>
    </xf>
    <xf numFmtId="0" fontId="6" fillId="0" borderId="0" xfId="0" applyFont="1" applyFill="1" applyAlignment="1">
      <alignment vertical="center"/>
    </xf>
    <xf numFmtId="0" fontId="19" fillId="0" borderId="0" xfId="0" applyFont="1" applyFill="1" applyAlignment="1">
      <alignment vertical="center"/>
    </xf>
    <xf numFmtId="0" fontId="19" fillId="0" borderId="0" xfId="0" applyFont="1" applyFill="1" applyAlignment="1">
      <alignment horizontal="center" vertical="center"/>
    </xf>
    <xf numFmtId="0" fontId="6" fillId="0" borderId="0" xfId="0" applyFont="1" applyAlignment="1">
      <alignment horizontal="left" vertical="center"/>
    </xf>
    <xf numFmtId="0" fontId="6" fillId="0" borderId="4" xfId="0" applyFont="1" applyBorder="1" applyAlignment="1">
      <alignment vertical="center"/>
    </xf>
    <xf numFmtId="0" fontId="8" fillId="0" borderId="4" xfId="0" applyFont="1" applyBorder="1" applyAlignment="1">
      <alignment vertical="center"/>
    </xf>
    <xf numFmtId="168" fontId="6" fillId="0" borderId="0" xfId="11" applyNumberFormat="1" applyFont="1" applyAlignment="1">
      <alignment vertical="center"/>
    </xf>
    <xf numFmtId="0" fontId="8" fillId="0" borderId="3" xfId="0" applyFont="1" applyBorder="1" applyAlignment="1">
      <alignment vertical="center"/>
    </xf>
    <xf numFmtId="168" fontId="8" fillId="0" borderId="3" xfId="0" applyNumberFormat="1" applyFont="1" applyBorder="1" applyAlignment="1">
      <alignment vertical="center"/>
    </xf>
    <xf numFmtId="0" fontId="20" fillId="0" borderId="0" xfId="0" applyFont="1" applyAlignment="1">
      <alignment horizontal="center" vertical="center"/>
    </xf>
    <xf numFmtId="168" fontId="8" fillId="0" borderId="0" xfId="0" applyNumberFormat="1" applyFont="1" applyAlignment="1">
      <alignment vertical="center"/>
    </xf>
    <xf numFmtId="1" fontId="17" fillId="3" borderId="5" xfId="0" applyNumberFormat="1" applyFont="1" applyFill="1" applyBorder="1" applyAlignment="1">
      <alignment horizontal="center" vertical="center"/>
    </xf>
    <xf numFmtId="1" fontId="17" fillId="3" borderId="6" xfId="0" applyNumberFormat="1" applyFont="1" applyFill="1" applyBorder="1" applyAlignment="1">
      <alignment horizontal="center" vertical="center"/>
    </xf>
    <xf numFmtId="1" fontId="17" fillId="3" borderId="0" xfId="0" applyNumberFormat="1" applyFont="1" applyFill="1" applyAlignment="1">
      <alignment horizontal="center" vertical="center"/>
    </xf>
    <xf numFmtId="14" fontId="17" fillId="3" borderId="6" xfId="0" applyNumberFormat="1" applyFont="1" applyFill="1" applyBorder="1" applyAlignment="1">
      <alignment horizontal="center" vertical="center"/>
    </xf>
    <xf numFmtId="0" fontId="8" fillId="0" borderId="0" xfId="0" applyFont="1" applyBorder="1" applyAlignment="1">
      <alignment vertical="center"/>
    </xf>
    <xf numFmtId="0" fontId="6" fillId="0" borderId="0"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168" fontId="6" fillId="0" borderId="5" xfId="0" applyNumberFormat="1" applyFont="1" applyFill="1" applyBorder="1" applyAlignment="1">
      <alignment vertical="center"/>
    </xf>
    <xf numFmtId="168" fontId="6" fillId="0" borderId="6" xfId="0" applyNumberFormat="1" applyFont="1" applyFill="1" applyBorder="1" applyAlignment="1">
      <alignment vertical="center"/>
    </xf>
    <xf numFmtId="168" fontId="8" fillId="0" borderId="0" xfId="0" applyNumberFormat="1" applyFont="1" applyFill="1" applyBorder="1" applyAlignment="1">
      <alignment vertical="center"/>
    </xf>
    <xf numFmtId="0" fontId="6" fillId="0" borderId="0" xfId="0" applyFont="1" applyBorder="1" applyAlignment="1">
      <alignment vertical="center"/>
    </xf>
    <xf numFmtId="168" fontId="6" fillId="0" borderId="4" xfId="0" applyNumberFormat="1" applyFont="1" applyBorder="1" applyAlignment="1">
      <alignment vertical="center"/>
    </xf>
    <xf numFmtId="168" fontId="6" fillId="0" borderId="0" xfId="0" applyNumberFormat="1" applyFont="1" applyBorder="1" applyAlignment="1">
      <alignment vertical="center"/>
    </xf>
    <xf numFmtId="0" fontId="8" fillId="0" borderId="1" xfId="0" applyFont="1" applyBorder="1" applyAlignment="1">
      <alignment vertical="center"/>
    </xf>
    <xf numFmtId="0" fontId="6" fillId="0" borderId="1" xfId="0" applyFont="1" applyBorder="1" applyAlignment="1">
      <alignment horizontal="center" vertical="center"/>
    </xf>
    <xf numFmtId="0" fontId="6" fillId="0" borderId="0" xfId="0" applyFont="1" applyAlignment="1">
      <alignment horizontal="center" vertical="center"/>
    </xf>
    <xf numFmtId="168" fontId="11" fillId="0" borderId="0" xfId="0" applyNumberFormat="1" applyFont="1" applyAlignment="1"/>
    <xf numFmtId="0" fontId="21" fillId="0" borderId="4" xfId="0" applyFont="1" applyBorder="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9" fontId="22" fillId="0" borderId="0" xfId="9" applyNumberFormat="1" applyFont="1" applyAlignment="1"/>
    <xf numFmtId="0" fontId="6" fillId="0" borderId="0" xfId="0" applyFont="1" applyAlignment="1">
      <alignment horizontal="left"/>
    </xf>
    <xf numFmtId="37" fontId="6" fillId="0" borderId="0" xfId="0" applyNumberFormat="1" applyFont="1" applyBorder="1" applyAlignment="1">
      <alignment horizontal="right"/>
    </xf>
    <xf numFmtId="0" fontId="8" fillId="0" borderId="4" xfId="0" applyFont="1" applyBorder="1" applyAlignment="1"/>
    <xf numFmtId="168" fontId="6" fillId="0" borderId="0" xfId="0" applyNumberFormat="1" applyFont="1" applyAlignment="1"/>
    <xf numFmtId="168" fontId="8" fillId="0" borderId="4" xfId="0" applyNumberFormat="1" applyFont="1" applyBorder="1" applyAlignment="1"/>
    <xf numFmtId="0" fontId="6" fillId="0" borderId="0" xfId="0" applyFont="1" applyBorder="1" applyAlignment="1">
      <alignment horizontal="center" vertical="center"/>
    </xf>
    <xf numFmtId="0" fontId="21" fillId="0" borderId="0" xfId="0" applyFont="1" applyBorder="1" applyAlignment="1">
      <alignment horizontal="center" vertical="center"/>
    </xf>
    <xf numFmtId="168" fontId="8" fillId="0" borderId="7" xfId="0" applyNumberFormat="1" applyFont="1" applyFill="1" applyBorder="1" applyAlignment="1">
      <alignment vertical="center"/>
    </xf>
    <xf numFmtId="3" fontId="6" fillId="0" borderId="0" xfId="1" applyNumberFormat="1" applyFont="1" applyBorder="1" applyAlignment="1">
      <alignment horizontal="center" vertical="center"/>
    </xf>
    <xf numFmtId="9" fontId="6" fillId="0" borderId="0" xfId="9" applyNumberFormat="1" applyFont="1" applyAlignment="1">
      <alignment horizontal="center"/>
    </xf>
    <xf numFmtId="9" fontId="8" fillId="0" borderId="4" xfId="0" applyNumberFormat="1" applyFont="1" applyBorder="1" applyAlignment="1">
      <alignment horizontal="center"/>
    </xf>
    <xf numFmtId="14" fontId="17" fillId="3" borderId="0" xfId="0" applyNumberFormat="1" applyFont="1" applyFill="1" applyBorder="1" applyAlignment="1">
      <alignment horizontal="center" vertical="center"/>
    </xf>
    <xf numFmtId="0" fontId="6" fillId="0" borderId="0" xfId="0" applyFont="1" applyFill="1" applyBorder="1" applyAlignment="1">
      <alignment horizontal="center"/>
    </xf>
    <xf numFmtId="0" fontId="7" fillId="0" borderId="0" xfId="0" applyFont="1" applyFill="1" applyBorder="1" applyAlignment="1">
      <alignment horizontal="center"/>
    </xf>
    <xf numFmtId="1" fontId="17" fillId="3" borderId="0" xfId="0" applyNumberFormat="1" applyFont="1" applyFill="1" applyBorder="1" applyAlignment="1">
      <alignment horizontal="left" vertical="center"/>
    </xf>
    <xf numFmtId="0" fontId="7" fillId="0" borderId="3" xfId="0" applyFont="1" applyFill="1" applyBorder="1" applyAlignment="1">
      <alignment horizontal="center"/>
    </xf>
    <xf numFmtId="0" fontId="6" fillId="0" borderId="0" xfId="0" applyFont="1" applyFill="1" applyBorder="1" applyAlignment="1"/>
    <xf numFmtId="0" fontId="8" fillId="0" borderId="0" xfId="0" applyFont="1" applyFill="1" applyBorder="1" applyAlignment="1"/>
    <xf numFmtId="37" fontId="6" fillId="0" borderId="0" xfId="0" applyNumberFormat="1" applyFont="1" applyFill="1" applyBorder="1" applyAlignment="1"/>
    <xf numFmtId="0" fontId="8" fillId="0" borderId="0" xfId="0" applyFont="1" applyFill="1" applyBorder="1" applyAlignment="1">
      <alignment horizontal="center"/>
    </xf>
    <xf numFmtId="37" fontId="8" fillId="0" borderId="0" xfId="0" applyNumberFormat="1" applyFont="1" applyFill="1" applyBorder="1" applyAlignment="1">
      <alignment horizontal="center"/>
    </xf>
    <xf numFmtId="9" fontId="8" fillId="0" borderId="0" xfId="0" applyNumberFormat="1" applyFont="1" applyFill="1" applyBorder="1" applyAlignment="1">
      <alignment horizontal="center"/>
    </xf>
    <xf numFmtId="167" fontId="6" fillId="0" borderId="0" xfId="9" applyNumberFormat="1" applyFont="1" applyFill="1" applyBorder="1" applyAlignment="1"/>
    <xf numFmtId="0" fontId="23" fillId="0" borderId="0" xfId="0" applyFont="1" applyFill="1" applyBorder="1" applyAlignment="1"/>
    <xf numFmtId="0" fontId="6" fillId="0" borderId="0" xfId="0" applyFont="1" applyFill="1" applyBorder="1" applyAlignment="1">
      <alignment horizontal="left" indent="1"/>
    </xf>
    <xf numFmtId="168" fontId="6" fillId="0" borderId="0" xfId="0" applyNumberFormat="1" applyFont="1" applyFill="1" applyBorder="1" applyAlignment="1"/>
    <xf numFmtId="168" fontId="6" fillId="0" borderId="3" xfId="0" applyNumberFormat="1" applyFont="1" applyFill="1" applyBorder="1" applyAlignment="1">
      <alignment horizontal="left"/>
    </xf>
    <xf numFmtId="37" fontId="6" fillId="0" borderId="3" xfId="0" applyNumberFormat="1" applyFont="1" applyFill="1" applyBorder="1" applyAlignment="1"/>
    <xf numFmtId="0" fontId="19" fillId="0" borderId="0" xfId="0" applyFont="1" applyFill="1" applyBorder="1" applyAlignment="1"/>
    <xf numFmtId="0" fontId="7" fillId="0" borderId="0" xfId="0" applyFont="1" applyFill="1" applyBorder="1" applyAlignment="1"/>
    <xf numFmtId="9" fontId="6" fillId="0" borderId="0" xfId="0" applyNumberFormat="1" applyFont="1" applyFill="1" applyBorder="1" applyAlignment="1">
      <alignment horizontal="center"/>
    </xf>
    <xf numFmtId="0" fontId="23" fillId="0" borderId="3" xfId="0" applyFont="1" applyFill="1" applyBorder="1" applyAlignment="1"/>
    <xf numFmtId="3" fontId="6" fillId="0" borderId="0" xfId="1" applyNumberFormat="1" applyFont="1" applyFill="1" applyBorder="1" applyAlignment="1"/>
    <xf numFmtId="37" fontId="6" fillId="0" borderId="7" xfId="0" applyNumberFormat="1" applyFont="1" applyFill="1" applyBorder="1" applyAlignment="1"/>
    <xf numFmtId="37" fontId="6" fillId="4" borderId="0" xfId="0" applyNumberFormat="1" applyFont="1" applyFill="1" applyBorder="1" applyAlignment="1"/>
    <xf numFmtId="37" fontId="8" fillId="4" borderId="0" xfId="0" applyNumberFormat="1" applyFont="1" applyFill="1" applyBorder="1" applyAlignment="1"/>
    <xf numFmtId="9" fontId="6" fillId="0" borderId="3" xfId="0" applyNumberFormat="1" applyFont="1" applyFill="1" applyBorder="1" applyAlignment="1">
      <alignment horizontal="center"/>
    </xf>
    <xf numFmtId="37" fontId="8" fillId="0" borderId="0" xfId="0" applyNumberFormat="1" applyFont="1" applyFill="1" applyBorder="1" applyAlignment="1"/>
    <xf numFmtId="168" fontId="8" fillId="0" borderId="3" xfId="0" applyNumberFormat="1" applyFont="1" applyFill="1" applyBorder="1" applyAlignment="1">
      <alignment horizontal="left"/>
    </xf>
    <xf numFmtId="9" fontId="6" fillId="4" borderId="0" xfId="0" applyNumberFormat="1" applyFont="1" applyFill="1" applyBorder="1" applyAlignment="1">
      <alignment horizontal="center"/>
    </xf>
    <xf numFmtId="9" fontId="6" fillId="0" borderId="3" xfId="9" applyNumberFormat="1" applyFont="1" applyFill="1" applyBorder="1" applyAlignment="1">
      <alignment horizontal="center"/>
    </xf>
    <xf numFmtId="10" fontId="6" fillId="0" borderId="7" xfId="9" applyFont="1" applyFill="1" applyBorder="1" applyAlignment="1"/>
    <xf numFmtId="168" fontId="6" fillId="0" borderId="8" xfId="0" applyNumberFormat="1" applyFont="1" applyFill="1" applyBorder="1" applyAlignment="1">
      <alignment horizontal="left"/>
    </xf>
    <xf numFmtId="37" fontId="6" fillId="0" borderId="0" xfId="0" applyNumberFormat="1" applyFont="1" applyFill="1" applyBorder="1" applyAlignment="1">
      <alignment horizontal="center"/>
    </xf>
    <xf numFmtId="168" fontId="6" fillId="0" borderId="3" xfId="0" applyNumberFormat="1" applyFont="1" applyFill="1" applyBorder="1" applyAlignment="1">
      <alignment horizontal="center"/>
    </xf>
    <xf numFmtId="168" fontId="22" fillId="0" borderId="0" xfId="0" applyNumberFormat="1" applyFont="1" applyAlignment="1"/>
    <xf numFmtId="9" fontId="22" fillId="0" borderId="0" xfId="0" applyNumberFormat="1" applyFont="1" applyAlignment="1"/>
    <xf numFmtId="37" fontId="22" fillId="0" borderId="0" xfId="0" applyNumberFormat="1" applyFont="1" applyFill="1" applyBorder="1" applyAlignment="1">
      <alignment horizontal="center"/>
    </xf>
    <xf numFmtId="49" fontId="22" fillId="0" borderId="0" xfId="0" quotePrefix="1" applyNumberFormat="1" applyFont="1" applyFill="1" applyBorder="1" applyAlignment="1">
      <alignment horizontal="center"/>
    </xf>
    <xf numFmtId="168" fontId="6" fillId="0" borderId="7" xfId="0" applyNumberFormat="1" applyFont="1" applyFill="1" applyBorder="1" applyAlignment="1"/>
    <xf numFmtId="168" fontId="8" fillId="0" borderId="0" xfId="0" applyNumberFormat="1" applyFont="1" applyFill="1" applyBorder="1" applyAlignment="1"/>
    <xf numFmtId="168" fontId="8" fillId="0" borderId="0" xfId="0" applyNumberFormat="1" applyFont="1" applyFill="1" applyBorder="1" applyAlignment="1">
      <alignment horizontal="center"/>
    </xf>
    <xf numFmtId="168" fontId="8" fillId="0" borderId="7" xfId="0" applyNumberFormat="1" applyFont="1" applyFill="1" applyBorder="1" applyAlignment="1"/>
    <xf numFmtId="1" fontId="17" fillId="0" borderId="0" xfId="0" applyNumberFormat="1" applyFont="1" applyFill="1" applyBorder="1" applyAlignment="1">
      <alignment horizontal="left" vertical="center"/>
    </xf>
    <xf numFmtId="44" fontId="6" fillId="0" borderId="8" xfId="0" applyNumberFormat="1" applyFont="1" applyFill="1" applyBorder="1" applyAlignment="1">
      <alignment horizontal="left"/>
    </xf>
    <xf numFmtId="1" fontId="6" fillId="0" borderId="7" xfId="0" applyNumberFormat="1" applyFont="1" applyFill="1" applyBorder="1" applyAlignment="1"/>
    <xf numFmtId="1" fontId="6" fillId="0" borderId="7" xfId="9" applyNumberFormat="1" applyFont="1" applyFill="1" applyBorder="1" applyAlignment="1"/>
    <xf numFmtId="0" fontId="7" fillId="4" borderId="0" xfId="0" applyFont="1" applyFill="1" applyBorder="1" applyAlignment="1">
      <alignment horizontal="center"/>
    </xf>
    <xf numFmtId="0" fontId="6" fillId="4" borderId="0" xfId="0" applyFont="1" applyFill="1" applyBorder="1" applyAlignment="1">
      <alignment horizontal="left" indent="1"/>
    </xf>
    <xf numFmtId="3" fontId="6" fillId="4" borderId="0" xfId="1" applyNumberFormat="1" applyFont="1" applyFill="1" applyBorder="1" applyAlignment="1"/>
    <xf numFmtId="37" fontId="6" fillId="4" borderId="7" xfId="0" applyNumberFormat="1" applyFont="1" applyFill="1" applyBorder="1" applyAlignment="1"/>
    <xf numFmtId="0" fontId="11" fillId="4" borderId="0" xfId="0" applyFont="1" applyFill="1" applyBorder="1" applyAlignment="1">
      <alignment horizontal="left" indent="2"/>
    </xf>
    <xf numFmtId="0" fontId="6" fillId="4" borderId="0" xfId="0" applyFont="1" applyFill="1" applyBorder="1" applyAlignment="1">
      <alignment horizontal="center"/>
    </xf>
    <xf numFmtId="1" fontId="6" fillId="4" borderId="7" xfId="9" applyNumberFormat="1" applyFont="1" applyFill="1" applyBorder="1" applyAlignment="1"/>
    <xf numFmtId="0" fontId="6" fillId="0" borderId="0" xfId="0" applyFont="1" applyAlignment="1">
      <alignment horizontal="right" vertical="center"/>
    </xf>
    <xf numFmtId="168" fontId="6" fillId="0" borderId="0" xfId="0" applyNumberFormat="1" applyFont="1" applyFill="1" applyBorder="1" applyAlignment="1">
      <alignment horizontal="center"/>
    </xf>
    <xf numFmtId="0" fontId="17" fillId="3" borderId="0" xfId="0" applyFont="1" applyFill="1" applyBorder="1" applyAlignment="1"/>
    <xf numFmtId="0" fontId="26" fillId="3" borderId="0" xfId="0" applyFont="1" applyFill="1" applyBorder="1" applyAlignment="1">
      <alignment horizontal="center"/>
    </xf>
    <xf numFmtId="37" fontId="26" fillId="3" borderId="0" xfId="0" applyNumberFormat="1" applyFont="1" applyFill="1" applyBorder="1" applyAlignment="1"/>
    <xf numFmtId="37" fontId="17" fillId="3" borderId="0" xfId="0" applyNumberFormat="1" applyFont="1" applyFill="1" applyBorder="1" applyAlignment="1"/>
    <xf numFmtId="9" fontId="26" fillId="3" borderId="0" xfId="0" applyNumberFormat="1" applyFont="1" applyFill="1" applyBorder="1" applyAlignment="1">
      <alignment horizontal="center"/>
    </xf>
    <xf numFmtId="164" fontId="17" fillId="3" borderId="7" xfId="0" applyNumberFormat="1" applyFont="1" applyFill="1" applyBorder="1" applyAlignment="1"/>
    <xf numFmtId="0" fontId="2" fillId="0" borderId="0" xfId="12"/>
    <xf numFmtId="170" fontId="27" fillId="0" borderId="0" xfId="13" applyNumberFormat="1" applyFont="1" applyFill="1" applyAlignment="1">
      <alignment horizontal="left" vertical="center" indent="2"/>
    </xf>
    <xf numFmtId="170" fontId="27" fillId="0" borderId="0" xfId="13" applyNumberFormat="1" applyFont="1" applyFill="1" applyAlignment="1">
      <alignment horizontal="left" vertical="center"/>
    </xf>
    <xf numFmtId="164" fontId="30" fillId="5" borderId="0" xfId="13" applyNumberFormat="1" applyFont="1" applyFill="1" applyAlignment="1">
      <alignment vertical="center"/>
    </xf>
    <xf numFmtId="164" fontId="2" fillId="0" borderId="0" xfId="12" applyNumberFormat="1"/>
    <xf numFmtId="0" fontId="2" fillId="0" borderId="4" xfId="12" applyBorder="1"/>
    <xf numFmtId="164" fontId="2" fillId="0" borderId="4" xfId="12" applyNumberFormat="1" applyBorder="1"/>
    <xf numFmtId="169" fontId="24" fillId="3" borderId="0" xfId="12" applyNumberFormat="1" applyFont="1" applyFill="1" applyAlignment="1">
      <alignment horizontal="left" vertical="center"/>
    </xf>
    <xf numFmtId="169" fontId="24" fillId="3" borderId="0" xfId="12" applyNumberFormat="1" applyFont="1" applyFill="1" applyAlignment="1">
      <alignment horizontal="center" vertical="center"/>
    </xf>
    <xf numFmtId="0" fontId="25" fillId="0" borderId="0" xfId="12" applyFont="1" applyFill="1"/>
    <xf numFmtId="0" fontId="31" fillId="0" borderId="0" xfId="0" applyFont="1" applyFill="1" applyBorder="1" applyAlignment="1"/>
    <xf numFmtId="0" fontId="32" fillId="3" borderId="0" xfId="0" applyFont="1" applyFill="1" applyBorder="1" applyAlignment="1">
      <alignment vertical="center"/>
    </xf>
    <xf numFmtId="0" fontId="26" fillId="3" borderId="0" xfId="0" applyFont="1" applyFill="1" applyBorder="1" applyAlignment="1"/>
    <xf numFmtId="164" fontId="33" fillId="0" borderId="0" xfId="13" applyNumberFormat="1" applyFont="1" applyFill="1" applyAlignment="1">
      <alignment vertical="center"/>
    </xf>
    <xf numFmtId="0" fontId="29" fillId="4" borderId="0" xfId="12" applyFont="1" applyFill="1" applyAlignment="1">
      <alignment horizontal="center"/>
    </xf>
    <xf numFmtId="170" fontId="27" fillId="4" borderId="0" xfId="13" applyNumberFormat="1" applyFont="1" applyFill="1" applyAlignment="1">
      <alignment horizontal="left" vertical="center"/>
    </xf>
    <xf numFmtId="0" fontId="2" fillId="4" borderId="0" xfId="12" applyFill="1" applyAlignment="1">
      <alignment horizontal="left" vertical="center"/>
    </xf>
    <xf numFmtId="9" fontId="30" fillId="6" borderId="0" xfId="13" applyFont="1" applyFill="1" applyAlignment="1">
      <alignment horizontal="center" vertical="center"/>
    </xf>
    <xf numFmtId="9" fontId="28" fillId="4" borderId="0" xfId="13" applyFont="1" applyFill="1" applyAlignment="1">
      <alignment horizontal="center" vertical="center"/>
    </xf>
    <xf numFmtId="0" fontId="28" fillId="4" borderId="0" xfId="12" applyFont="1" applyFill="1" applyAlignment="1">
      <alignment horizontal="center" vertical="center"/>
    </xf>
    <xf numFmtId="164" fontId="33" fillId="4" borderId="0" xfId="13" applyNumberFormat="1" applyFont="1" applyFill="1" applyAlignment="1">
      <alignment vertical="center"/>
    </xf>
    <xf numFmtId="10" fontId="0" fillId="0" borderId="0" xfId="9" applyFont="1" applyAlignment="1">
      <alignment horizontal="center"/>
    </xf>
    <xf numFmtId="10" fontId="0" fillId="7" borderId="0" xfId="9" applyFont="1" applyFill="1" applyAlignment="1">
      <alignment horizontal="center"/>
    </xf>
    <xf numFmtId="0" fontId="11" fillId="0" borderId="0" xfId="0" applyFont="1" applyAlignment="1">
      <alignment horizontal="left" indent="1"/>
    </xf>
    <xf numFmtId="169" fontId="24" fillId="3" borderId="0" xfId="12" applyNumberFormat="1" applyFont="1" applyFill="1" applyAlignment="1">
      <alignment horizontal="right" vertical="center"/>
    </xf>
    <xf numFmtId="164" fontId="0" fillId="0" borderId="0" xfId="0" applyNumberFormat="1" applyAlignment="1"/>
    <xf numFmtId="1" fontId="0" fillId="0" borderId="0" xfId="0" applyNumberFormat="1" applyAlignment="1">
      <alignment horizontal="center"/>
    </xf>
    <xf numFmtId="0" fontId="0" fillId="0" borderId="4" xfId="0" applyBorder="1" applyAlignment="1"/>
    <xf numFmtId="164" fontId="0" fillId="0" borderId="4" xfId="0" applyNumberFormat="1" applyBorder="1" applyAlignment="1"/>
    <xf numFmtId="0" fontId="0" fillId="0" borderId="0" xfId="0" applyAlignment="1">
      <alignment horizontal="center"/>
    </xf>
    <xf numFmtId="170" fontId="0" fillId="0" borderId="0" xfId="9" applyNumberFormat="1" applyFont="1" applyAlignment="1">
      <alignment horizontal="center"/>
    </xf>
    <xf numFmtId="170" fontId="0" fillId="0" borderId="0" xfId="0" applyNumberFormat="1" applyAlignment="1"/>
    <xf numFmtId="170" fontId="0" fillId="0" borderId="4" xfId="9" applyNumberFormat="1" applyFont="1" applyBorder="1" applyAlignment="1">
      <alignment horizontal="center"/>
    </xf>
    <xf numFmtId="0" fontId="34" fillId="3" borderId="0" xfId="0" applyFont="1" applyFill="1" applyAlignment="1"/>
    <xf numFmtId="0" fontId="35" fillId="3" borderId="0" xfId="0" applyFont="1" applyFill="1" applyAlignment="1"/>
    <xf numFmtId="164" fontId="11" fillId="0" borderId="0" xfId="0" applyNumberFormat="1" applyFont="1" applyAlignment="1"/>
    <xf numFmtId="0" fontId="29" fillId="0" borderId="0" xfId="12" applyFont="1" applyFill="1" applyAlignment="1">
      <alignment horizontal="center"/>
    </xf>
    <xf numFmtId="0" fontId="2" fillId="0" borderId="0" xfId="12" applyFill="1"/>
    <xf numFmtId="0" fontId="29" fillId="0" borderId="0" xfId="12" applyFont="1" applyFill="1"/>
    <xf numFmtId="164" fontId="2" fillId="0" borderId="0" xfId="12" applyNumberFormat="1" applyFill="1"/>
    <xf numFmtId="0" fontId="2" fillId="0" borderId="0" xfId="12" applyFill="1" applyAlignment="1">
      <alignment horizontal="left" vertical="center"/>
    </xf>
    <xf numFmtId="9" fontId="30" fillId="0" borderId="0" xfId="13" applyFont="1" applyFill="1" applyAlignment="1">
      <alignment horizontal="center" vertical="center"/>
    </xf>
    <xf numFmtId="9" fontId="28" fillId="0" borderId="0" xfId="13" applyFont="1" applyFill="1" applyAlignment="1">
      <alignment horizontal="center" vertical="center"/>
    </xf>
    <xf numFmtId="0" fontId="28" fillId="0" borderId="0" xfId="12" applyFont="1" applyFill="1" applyAlignment="1">
      <alignment horizontal="center" vertical="center"/>
    </xf>
    <xf numFmtId="164" fontId="30" fillId="0" borderId="0" xfId="13" applyNumberFormat="1" applyFont="1" applyFill="1" applyAlignment="1">
      <alignment vertical="center"/>
    </xf>
    <xf numFmtId="0" fontId="29" fillId="0" borderId="4" xfId="12" applyFont="1" applyFill="1" applyBorder="1"/>
    <xf numFmtId="0" fontId="2" fillId="0" borderId="4" xfId="12" applyFill="1" applyBorder="1"/>
    <xf numFmtId="164" fontId="2" fillId="0" borderId="4" xfId="12" applyNumberFormat="1" applyFill="1" applyBorder="1"/>
    <xf numFmtId="0" fontId="29" fillId="0" borderId="3" xfId="12" applyFont="1" applyFill="1" applyBorder="1"/>
    <xf numFmtId="164" fontId="29" fillId="0" borderId="3" xfId="12" applyNumberFormat="1" applyFont="1" applyFill="1" applyBorder="1"/>
    <xf numFmtId="10" fontId="6" fillId="0" borderId="0" xfId="9" applyFont="1" applyAlignment="1">
      <alignment horizontal="left" vertical="center"/>
    </xf>
    <xf numFmtId="168" fontId="6" fillId="0" borderId="0" xfId="0" applyNumberFormat="1" applyFont="1" applyBorder="1" applyAlignment="1">
      <alignment horizontal="center" vertical="center"/>
    </xf>
    <xf numFmtId="0" fontId="8" fillId="0" borderId="2" xfId="0" applyFont="1" applyBorder="1" applyAlignment="1">
      <alignment vertical="center"/>
    </xf>
    <xf numFmtId="0" fontId="21" fillId="0" borderId="1" xfId="0" applyFont="1" applyBorder="1" applyAlignment="1">
      <alignment horizontal="center" vertical="center"/>
    </xf>
    <xf numFmtId="168" fontId="11" fillId="0" borderId="4" xfId="0" applyNumberFormat="1" applyFont="1" applyBorder="1" applyAlignment="1"/>
    <xf numFmtId="0" fontId="37" fillId="0" borderId="0" xfId="0" applyFont="1" applyAlignment="1">
      <alignment vertical="center"/>
    </xf>
    <xf numFmtId="0" fontId="11" fillId="8" borderId="0" xfId="0" applyFont="1" applyFill="1" applyAlignment="1"/>
    <xf numFmtId="0" fontId="36" fillId="8" borderId="0" xfId="0" applyFont="1" applyFill="1" applyAlignment="1"/>
    <xf numFmtId="0" fontId="11" fillId="0" borderId="4" xfId="8" applyBorder="1"/>
    <xf numFmtId="166" fontId="11" fillId="0" borderId="4" xfId="8" applyNumberFormat="1" applyBorder="1"/>
    <xf numFmtId="0" fontId="35" fillId="9" borderId="0" xfId="8" applyFont="1" applyFill="1"/>
    <xf numFmtId="0" fontId="34" fillId="9" borderId="0" xfId="8" applyFont="1" applyFill="1" applyAlignment="1">
      <alignment horizontal="center"/>
    </xf>
    <xf numFmtId="0" fontId="11" fillId="0" borderId="9" xfId="8" applyFont="1" applyBorder="1" applyAlignment="1">
      <alignment horizontal="right"/>
    </xf>
    <xf numFmtId="10" fontId="11" fillId="0" borderId="9" xfId="8" applyNumberFormat="1" applyFont="1" applyBorder="1" applyAlignment="1">
      <alignment horizontal="right"/>
    </xf>
    <xf numFmtId="10" fontId="11" fillId="0" borderId="9" xfId="9" applyFont="1" applyBorder="1"/>
    <xf numFmtId="44" fontId="11" fillId="0" borderId="0" xfId="11" applyFont="1"/>
    <xf numFmtId="166" fontId="11" fillId="0" borderId="0" xfId="11" applyNumberFormat="1" applyFont="1"/>
    <xf numFmtId="10" fontId="11" fillId="0" borderId="0" xfId="9" applyFont="1" applyAlignment="1"/>
    <xf numFmtId="0" fontId="0" fillId="8" borderId="0" xfId="0" applyFill="1" applyAlignment="1"/>
    <xf numFmtId="170" fontId="6" fillId="0" borderId="0" xfId="9" applyNumberFormat="1" applyFont="1" applyAlignment="1">
      <alignment horizontal="center" vertical="center"/>
    </xf>
    <xf numFmtId="9" fontId="8" fillId="0" borderId="3" xfId="9" applyNumberFormat="1" applyFont="1" applyBorder="1" applyAlignment="1">
      <alignment horizontal="center" vertical="center"/>
    </xf>
    <xf numFmtId="170" fontId="6" fillId="0" borderId="4" xfId="9" applyNumberFormat="1" applyFont="1" applyBorder="1" applyAlignment="1">
      <alignment horizontal="center" vertical="center"/>
    </xf>
    <xf numFmtId="10" fontId="7" fillId="0" borderId="0" xfId="9" applyFont="1" applyFill="1" applyBorder="1" applyAlignment="1">
      <alignment horizontal="center"/>
    </xf>
    <xf numFmtId="9" fontId="0" fillId="0" borderId="0" xfId="9" applyNumberFormat="1" applyFont="1" applyAlignment="1">
      <alignment horizontal="center"/>
    </xf>
    <xf numFmtId="0" fontId="0" fillId="0" borderId="0" xfId="0" applyAlignment="1">
      <alignment horizontal="left"/>
    </xf>
    <xf numFmtId="0" fontId="1" fillId="0" borderId="0" xfId="12" applyFont="1" applyFill="1" applyAlignment="1">
      <alignment horizontal="center"/>
    </xf>
    <xf numFmtId="0" fontId="1" fillId="4" borderId="0" xfId="12" applyFont="1" applyFill="1" applyAlignment="1">
      <alignment horizontal="center"/>
    </xf>
    <xf numFmtId="9" fontId="1" fillId="4" borderId="0" xfId="9" applyNumberFormat="1" applyFont="1" applyFill="1" applyAlignment="1">
      <alignment horizontal="center" vertical="center"/>
    </xf>
    <xf numFmtId="168" fontId="39" fillId="2" borderId="4" xfId="11" applyNumberFormat="1" applyFont="1" applyFill="1" applyBorder="1" applyAlignment="1">
      <alignment vertical="center"/>
    </xf>
    <xf numFmtId="0" fontId="23" fillId="2" borderId="0" xfId="0" applyFont="1" applyFill="1" applyAlignment="1">
      <alignment horizontal="center" vertical="center"/>
    </xf>
    <xf numFmtId="0" fontId="6" fillId="0" borderId="0" xfId="0" applyFont="1" applyFill="1" applyAlignment="1">
      <alignment horizontal="left"/>
    </xf>
    <xf numFmtId="9" fontId="6" fillId="0" borderId="0" xfId="9" applyNumberFormat="1" applyFont="1" applyFill="1" applyAlignment="1">
      <alignment horizontal="center"/>
    </xf>
    <xf numFmtId="168" fontId="6" fillId="0" borderId="0" xfId="0" applyNumberFormat="1" applyFont="1" applyFill="1" applyAlignment="1"/>
    <xf numFmtId="0" fontId="11" fillId="0" borderId="0" xfId="0" applyFont="1" applyFill="1" applyAlignment="1"/>
    <xf numFmtId="0" fontId="41" fillId="0" borderId="0" xfId="0" applyFont="1" applyAlignment="1"/>
    <xf numFmtId="9" fontId="22" fillId="0" borderId="0" xfId="9" applyNumberFormat="1" applyFont="1" applyFill="1" applyAlignment="1"/>
    <xf numFmtId="0" fontId="42" fillId="0" borderId="0" xfId="0" applyFont="1" applyAlignment="1">
      <alignment vertical="center"/>
    </xf>
    <xf numFmtId="0" fontId="43" fillId="0" borderId="0" xfId="0" applyFont="1" applyFill="1" applyAlignment="1">
      <alignment vertical="center"/>
    </xf>
    <xf numFmtId="0" fontId="37" fillId="0" borderId="0" xfId="0" applyFont="1" applyAlignment="1">
      <alignment horizontal="left" vertical="top" wrapText="1"/>
    </xf>
    <xf numFmtId="0" fontId="37" fillId="0" borderId="0" xfId="0" applyFont="1" applyAlignment="1">
      <alignment horizontal="left" vertical="center"/>
    </xf>
    <xf numFmtId="0" fontId="37" fillId="0" borderId="0" xfId="0" applyFont="1" applyFill="1" applyBorder="1" applyAlignment="1">
      <alignment vertical="center"/>
    </xf>
    <xf numFmtId="168" fontId="42" fillId="0" borderId="0" xfId="0" applyNumberFormat="1" applyFont="1" applyFill="1" applyBorder="1" applyAlignment="1">
      <alignment vertical="center"/>
    </xf>
    <xf numFmtId="3" fontId="6" fillId="0" borderId="0" xfId="0" applyNumberFormat="1" applyFont="1" applyAlignment="1">
      <alignment vertical="center"/>
    </xf>
    <xf numFmtId="0" fontId="6" fillId="10" borderId="0" xfId="0" applyFont="1" applyFill="1" applyBorder="1" applyAlignment="1">
      <alignment vertical="center"/>
    </xf>
    <xf numFmtId="0" fontId="0" fillId="0" borderId="0" xfId="0" applyBorder="1" applyAlignment="1"/>
    <xf numFmtId="166" fontId="11" fillId="0" borderId="0" xfId="0" applyNumberFormat="1" applyFont="1" applyAlignment="1"/>
    <xf numFmtId="166" fontId="6" fillId="0" borderId="0" xfId="0" applyNumberFormat="1" applyFont="1" applyAlignment="1">
      <alignment vertical="center"/>
    </xf>
    <xf numFmtId="0" fontId="43" fillId="0" borderId="0" xfId="0" applyFont="1" applyFill="1" applyAlignment="1">
      <alignment horizontal="center" vertical="center"/>
    </xf>
    <xf numFmtId="0" fontId="37" fillId="10" borderId="0" xfId="0" applyFont="1" applyFill="1" applyAlignment="1">
      <alignment vertical="center"/>
    </xf>
    <xf numFmtId="0" fontId="45" fillId="0" borderId="0" xfId="12" applyFont="1"/>
    <xf numFmtId="164" fontId="2" fillId="10" borderId="0" xfId="12" applyNumberFormat="1" applyFill="1"/>
    <xf numFmtId="0" fontId="2" fillId="0" borderId="0" xfId="12" applyAlignment="1">
      <alignment horizontal="center"/>
    </xf>
    <xf numFmtId="0" fontId="46" fillId="0" borderId="0" xfId="12" applyFont="1" applyFill="1"/>
    <xf numFmtId="164" fontId="33" fillId="11" borderId="0" xfId="13" applyNumberFormat="1" applyFont="1" applyFill="1" applyAlignment="1">
      <alignment vertical="center"/>
    </xf>
    <xf numFmtId="0" fontId="2" fillId="11" borderId="0" xfId="12" applyFill="1" applyAlignment="1">
      <alignment horizontal="left" vertical="center"/>
    </xf>
    <xf numFmtId="9" fontId="30" fillId="11" borderId="0" xfId="13" applyFont="1" applyFill="1" applyAlignment="1">
      <alignment horizontal="center" vertical="center"/>
    </xf>
    <xf numFmtId="9" fontId="28" fillId="11" borderId="0" xfId="13" applyFont="1" applyFill="1" applyAlignment="1">
      <alignment horizontal="center" vertical="center"/>
    </xf>
    <xf numFmtId="0" fontId="28" fillId="11" borderId="0" xfId="12" applyFont="1" applyFill="1" applyAlignment="1">
      <alignment horizontal="center" vertical="center"/>
    </xf>
    <xf numFmtId="9" fontId="6" fillId="0" borderId="0" xfId="0" applyNumberFormat="1" applyFont="1" applyAlignment="1">
      <alignment vertical="center"/>
    </xf>
    <xf numFmtId="14" fontId="6" fillId="0" borderId="0" xfId="0" applyNumberFormat="1" applyFont="1" applyAlignment="1">
      <alignment vertical="center"/>
    </xf>
    <xf numFmtId="3" fontId="11" fillId="0" borderId="0" xfId="0" applyNumberFormat="1" applyFont="1" applyAlignment="1"/>
    <xf numFmtId="0" fontId="48" fillId="0" borderId="0" xfId="0" applyFont="1" applyAlignment="1">
      <alignment vertical="center"/>
    </xf>
    <xf numFmtId="0" fontId="0" fillId="10" borderId="0" xfId="0" applyFill="1" applyAlignment="1"/>
    <xf numFmtId="169" fontId="24" fillId="3" borderId="11" xfId="12" applyNumberFormat="1" applyFont="1" applyFill="1" applyBorder="1" applyAlignment="1">
      <alignment horizontal="right" vertical="center"/>
    </xf>
    <xf numFmtId="0" fontId="2" fillId="0" borderId="0" xfId="12" applyBorder="1" applyAlignment="1">
      <alignment vertical="center"/>
    </xf>
    <xf numFmtId="0" fontId="2" fillId="0" borderId="0" xfId="12" applyBorder="1"/>
    <xf numFmtId="164" fontId="30" fillId="5" borderId="0" xfId="13" applyNumberFormat="1" applyFont="1" applyFill="1" applyBorder="1" applyAlignment="1">
      <alignment vertical="center"/>
    </xf>
    <xf numFmtId="164" fontId="30" fillId="0" borderId="0" xfId="13" applyNumberFormat="1" applyFont="1" applyFill="1" applyBorder="1" applyAlignment="1">
      <alignment vertical="center"/>
    </xf>
    <xf numFmtId="0" fontId="2" fillId="0" borderId="0" xfId="12" applyFill="1" applyBorder="1"/>
    <xf numFmtId="164" fontId="2" fillId="0" borderId="0" xfId="12" applyNumberFormat="1" applyBorder="1"/>
    <xf numFmtId="164" fontId="30" fillId="11" borderId="0" xfId="13" applyNumberFormat="1" applyFont="1" applyFill="1" applyBorder="1" applyAlignment="1">
      <alignment vertical="center"/>
    </xf>
    <xf numFmtId="0" fontId="2" fillId="11" borderId="0" xfId="12" applyFill="1" applyBorder="1"/>
    <xf numFmtId="0" fontId="49" fillId="12" borderId="14" xfId="0" applyFont="1" applyFill="1" applyBorder="1" applyAlignment="1">
      <alignment wrapText="1"/>
    </xf>
    <xf numFmtId="0" fontId="49" fillId="13" borderId="14" xfId="0" applyFont="1" applyFill="1" applyBorder="1" applyAlignment="1">
      <alignment wrapText="1"/>
    </xf>
    <xf numFmtId="9" fontId="49" fillId="13" borderId="15" xfId="0" applyNumberFormat="1" applyFont="1" applyFill="1" applyBorder="1" applyAlignment="1">
      <alignment wrapText="1"/>
    </xf>
    <xf numFmtId="0" fontId="49" fillId="14" borderId="14" xfId="0" applyFont="1" applyFill="1" applyBorder="1" applyAlignment="1">
      <alignment wrapText="1"/>
    </xf>
    <xf numFmtId="9" fontId="49" fillId="14" borderId="15" xfId="0" applyNumberFormat="1" applyFont="1" applyFill="1" applyBorder="1" applyAlignment="1">
      <alignment wrapText="1"/>
    </xf>
    <xf numFmtId="0" fontId="49" fillId="12" borderId="12" xfId="0" applyFont="1" applyFill="1" applyBorder="1" applyAlignment="1">
      <alignment wrapText="1"/>
    </xf>
    <xf numFmtId="9" fontId="49" fillId="14" borderId="13" xfId="0" applyNumberFormat="1" applyFont="1" applyFill="1" applyBorder="1" applyAlignment="1">
      <alignment wrapText="1"/>
    </xf>
    <xf numFmtId="9" fontId="49" fillId="14" borderId="14" xfId="0" applyNumberFormat="1" applyFont="1" applyFill="1" applyBorder="1" applyAlignment="1">
      <alignment wrapText="1"/>
    </xf>
    <xf numFmtId="164" fontId="29" fillId="0" borderId="17" xfId="12" applyNumberFormat="1" applyFont="1" applyBorder="1"/>
    <xf numFmtId="166" fontId="2" fillId="0" borderId="0" xfId="12" applyNumberFormat="1" applyFill="1" applyBorder="1"/>
    <xf numFmtId="9" fontId="49" fillId="12" borderId="16" xfId="0" applyNumberFormat="1" applyFont="1" applyFill="1" applyBorder="1" applyAlignment="1">
      <alignment wrapText="1"/>
    </xf>
    <xf numFmtId="9" fontId="49" fillId="12" borderId="18" xfId="0" applyNumberFormat="1" applyFont="1" applyFill="1" applyBorder="1" applyAlignment="1">
      <alignment wrapText="1"/>
    </xf>
    <xf numFmtId="9" fontId="1" fillId="15" borderId="10" xfId="9" applyNumberFormat="1" applyFont="1" applyFill="1" applyBorder="1" applyAlignment="1">
      <alignment horizontal="center" vertical="center"/>
    </xf>
    <xf numFmtId="9" fontId="30" fillId="15" borderId="10" xfId="13" applyFont="1" applyFill="1" applyBorder="1" applyAlignment="1">
      <alignment horizontal="center" vertical="center"/>
    </xf>
    <xf numFmtId="9" fontId="28" fillId="15" borderId="10" xfId="13" applyFont="1" applyFill="1" applyBorder="1" applyAlignment="1">
      <alignment horizontal="center" vertical="center"/>
    </xf>
    <xf numFmtId="0" fontId="28" fillId="15" borderId="10" xfId="12" applyFont="1" applyFill="1" applyBorder="1" applyAlignment="1">
      <alignment horizontal="center" vertical="center"/>
    </xf>
    <xf numFmtId="164" fontId="33" fillId="15" borderId="10" xfId="13" applyNumberFormat="1" applyFont="1" applyFill="1" applyBorder="1" applyAlignment="1">
      <alignment vertical="center"/>
    </xf>
    <xf numFmtId="0" fontId="2" fillId="15" borderId="10" xfId="12" applyFill="1" applyBorder="1"/>
    <xf numFmtId="164" fontId="2" fillId="15" borderId="10" xfId="12" applyNumberFormat="1" applyFill="1" applyBorder="1"/>
    <xf numFmtId="9" fontId="1" fillId="16" borderId="10" xfId="9" applyNumberFormat="1" applyFont="1" applyFill="1" applyBorder="1" applyAlignment="1">
      <alignment horizontal="center" vertical="center"/>
    </xf>
    <xf numFmtId="9" fontId="49" fillId="12" borderId="19" xfId="0" applyNumberFormat="1" applyFont="1" applyFill="1" applyBorder="1" applyAlignment="1">
      <alignment wrapText="1"/>
    </xf>
    <xf numFmtId="164" fontId="33" fillId="16" borderId="10" xfId="13" applyNumberFormat="1" applyFont="1" applyFill="1" applyBorder="1" applyAlignment="1">
      <alignment vertical="center"/>
    </xf>
    <xf numFmtId="164" fontId="33" fillId="10" borderId="10" xfId="13" applyNumberFormat="1" applyFont="1" applyFill="1" applyBorder="1" applyAlignment="1">
      <alignment vertical="center"/>
    </xf>
    <xf numFmtId="164" fontId="33" fillId="0" borderId="10" xfId="13" applyNumberFormat="1" applyFont="1" applyFill="1" applyBorder="1" applyAlignment="1">
      <alignment vertical="center"/>
    </xf>
    <xf numFmtId="169" fontId="24" fillId="3" borderId="10" xfId="12" applyNumberFormat="1" applyFont="1" applyFill="1" applyBorder="1" applyAlignment="1">
      <alignment horizontal="right" vertical="center"/>
    </xf>
    <xf numFmtId="0" fontId="2" fillId="0" borderId="10" xfId="12" applyBorder="1" applyAlignment="1">
      <alignment vertical="center"/>
    </xf>
    <xf numFmtId="6" fontId="49" fillId="12" borderId="10" xfId="0" applyNumberFormat="1" applyFont="1" applyFill="1" applyBorder="1" applyAlignment="1">
      <alignment wrapText="1"/>
    </xf>
    <xf numFmtId="6" fontId="49" fillId="13" borderId="10" xfId="0" applyNumberFormat="1" applyFont="1" applyFill="1" applyBorder="1" applyAlignment="1">
      <alignment wrapText="1"/>
    </xf>
    <xf numFmtId="6" fontId="49" fillId="14" borderId="10" xfId="0" applyNumberFormat="1" applyFont="1" applyFill="1" applyBorder="1" applyAlignment="1">
      <alignment wrapText="1"/>
    </xf>
    <xf numFmtId="164" fontId="33" fillId="15" borderId="20" xfId="13" applyNumberFormat="1" applyFont="1" applyFill="1" applyBorder="1" applyAlignment="1">
      <alignment vertical="center"/>
    </xf>
    <xf numFmtId="0" fontId="2" fillId="15" borderId="20" xfId="12" applyFill="1" applyBorder="1"/>
    <xf numFmtId="164" fontId="2" fillId="15" borderId="20" xfId="12" applyNumberFormat="1" applyFill="1" applyBorder="1"/>
    <xf numFmtId="164" fontId="33" fillId="15" borderId="21" xfId="13" applyNumberFormat="1" applyFont="1" applyFill="1" applyBorder="1" applyAlignment="1">
      <alignment vertical="center"/>
    </xf>
    <xf numFmtId="164" fontId="33" fillId="16" borderId="20" xfId="13" applyNumberFormat="1" applyFont="1" applyFill="1" applyBorder="1" applyAlignment="1">
      <alignment vertical="center"/>
    </xf>
    <xf numFmtId="164" fontId="33" fillId="16" borderId="21" xfId="13" applyNumberFormat="1" applyFont="1" applyFill="1" applyBorder="1" applyAlignment="1">
      <alignment vertical="center"/>
    </xf>
    <xf numFmtId="164" fontId="33" fillId="10" borderId="20" xfId="13" applyNumberFormat="1" applyFont="1" applyFill="1" applyBorder="1" applyAlignment="1">
      <alignment vertical="center"/>
    </xf>
    <xf numFmtId="164" fontId="33" fillId="0" borderId="20" xfId="13" applyNumberFormat="1" applyFont="1" applyFill="1" applyBorder="1" applyAlignment="1">
      <alignment vertical="center"/>
    </xf>
    <xf numFmtId="164" fontId="2" fillId="0" borderId="10" xfId="12" applyNumberFormat="1" applyBorder="1"/>
    <xf numFmtId="49" fontId="24" fillId="3" borderId="10" xfId="12" applyNumberFormat="1" applyFont="1" applyFill="1" applyBorder="1" applyAlignment="1">
      <alignment horizontal="right" vertical="center"/>
    </xf>
    <xf numFmtId="168" fontId="6" fillId="10" borderId="0" xfId="0" applyNumberFormat="1" applyFont="1" applyFill="1" applyBorder="1" applyAlignment="1">
      <alignment vertical="center"/>
    </xf>
    <xf numFmtId="0" fontId="8" fillId="10" borderId="1" xfId="0" applyFont="1" applyFill="1" applyBorder="1" applyAlignment="1">
      <alignment vertical="center"/>
    </xf>
    <xf numFmtId="0" fontId="6" fillId="0" borderId="0" xfId="0" applyFont="1" applyAlignment="1">
      <alignment horizontal="left" vertical="top" wrapText="1"/>
    </xf>
    <xf numFmtId="1" fontId="17" fillId="3" borderId="0" xfId="0" applyNumberFormat="1" applyFont="1" applyFill="1" applyBorder="1" applyAlignment="1">
      <alignment horizontal="center" vertical="center"/>
    </xf>
    <xf numFmtId="0" fontId="9" fillId="0" borderId="0" xfId="0" applyFont="1" applyFill="1" applyAlignment="1">
      <alignment horizontal="center" vertical="center"/>
    </xf>
    <xf numFmtId="0" fontId="6" fillId="0" borderId="0" xfId="0" applyFont="1" applyAlignment="1">
      <alignment horizontal="left" vertical="top"/>
    </xf>
    <xf numFmtId="0" fontId="6" fillId="10" borderId="0" xfId="0" applyFont="1" applyFill="1" applyAlignment="1">
      <alignment horizontal="left" vertical="top"/>
    </xf>
    <xf numFmtId="0" fontId="40" fillId="2" borderId="0" xfId="0" applyFont="1" applyFill="1" applyAlignment="1">
      <alignment horizontal="center" vertical="center"/>
    </xf>
    <xf numFmtId="0" fontId="4" fillId="0" borderId="0" xfId="0" applyFont="1" applyAlignment="1">
      <alignment horizontal="center" vertical="center"/>
    </xf>
    <xf numFmtId="0" fontId="44" fillId="10" borderId="0" xfId="0" applyFont="1" applyFill="1" applyAlignment="1">
      <alignment horizontal="left" vertical="top" wrapText="1"/>
    </xf>
    <xf numFmtId="0" fontId="6" fillId="10" borderId="0" xfId="0" applyFont="1" applyFill="1" applyAlignment="1">
      <alignment horizontal="left" vertical="top" wrapText="1"/>
    </xf>
    <xf numFmtId="0" fontId="6" fillId="0" borderId="0" xfId="0" applyFont="1" applyAlignment="1">
      <alignment horizontal="left" vertical="top" wrapText="1"/>
    </xf>
    <xf numFmtId="0" fontId="6" fillId="0" borderId="10" xfId="0" applyFont="1" applyBorder="1" applyAlignment="1">
      <alignment horizontal="left" vertical="top" wrapText="1"/>
    </xf>
    <xf numFmtId="0" fontId="44" fillId="0" borderId="0" xfId="0" applyFont="1" applyAlignment="1">
      <alignment horizontal="left" vertical="top" wrapText="1"/>
    </xf>
    <xf numFmtId="0" fontId="32" fillId="3" borderId="0" xfId="0" applyFont="1" applyFill="1" applyBorder="1" applyAlignment="1">
      <alignment horizontal="center" vertical="center"/>
    </xf>
    <xf numFmtId="0" fontId="38" fillId="0" borderId="0" xfId="12" applyFont="1" applyAlignment="1">
      <alignment horizontal="center" vertical="center"/>
    </xf>
    <xf numFmtId="1" fontId="17" fillId="3" borderId="0" xfId="0" applyNumberFormat="1" applyFont="1" applyFill="1" applyBorder="1" applyAlignment="1">
      <alignment horizontal="center" vertical="center"/>
    </xf>
    <xf numFmtId="0" fontId="47" fillId="0" borderId="0" xfId="0" applyFont="1" applyFill="1" applyBorder="1" applyAlignment="1">
      <alignment horizontal="center"/>
    </xf>
    <xf numFmtId="1" fontId="16" fillId="2" borderId="0" xfId="9" applyNumberFormat="1" applyFont="1" applyFill="1" applyAlignment="1">
      <alignment horizontal="left"/>
    </xf>
  </cellXfs>
  <cellStyles count="14">
    <cellStyle name="Comma" xfId="1" builtinId="3"/>
    <cellStyle name="Comma0" xfId="2" xr:uid="{00000000-0005-0000-0000-000001000000}"/>
    <cellStyle name="Currency" xfId="11" builtinId="4"/>
    <cellStyle name="Currency0" xfId="3" xr:uid="{00000000-0005-0000-0000-000003000000}"/>
    <cellStyle name="Date" xfId="4" xr:uid="{00000000-0005-0000-0000-000004000000}"/>
    <cellStyle name="Fixed" xfId="5" xr:uid="{00000000-0005-0000-0000-000005000000}"/>
    <cellStyle name="Heading 1" xfId="6" builtinId="16" customBuiltin="1"/>
    <cellStyle name="Heading 2" xfId="7" builtinId="17" customBuiltin="1"/>
    <cellStyle name="Normal" xfId="0" builtinId="0"/>
    <cellStyle name="Normal 2" xfId="8" xr:uid="{00000000-0005-0000-0000-000009000000}"/>
    <cellStyle name="Normal 3" xfId="12" xr:uid="{00000000-0005-0000-0000-00000A000000}"/>
    <cellStyle name="Percent" xfId="9" builtinId="5"/>
    <cellStyle name="Percent 2" xfId="13" xr:uid="{00000000-0005-0000-0000-00000C000000}"/>
    <cellStyle name="Total" xfId="10"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83C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79" Type="http://schemas.openxmlformats.org/officeDocument/2006/relationships/customXml" Target="../customXml/item2.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1.xml"/><Relationship Id="rId80"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78"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microsoft.com/office/2017/10/relationships/person" Target="persons/perso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ibcsd1.sharepoint.com/Shared%20Documents/Finance/Budgets/FY%202018-2019/Budget%20Development/Rates%20and%20Model/Channel%20Islands%20Beach%20CSD%20FY%202018%20Model_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C_Model_Pro"/>
      <sheetName val="MPScenarios"/>
      <sheetName val="Home"/>
      <sheetName val="Key Inputs"/>
      <sheetName val="Revenues"/>
      <sheetName val="O&amp;M"/>
      <sheetName val="CIP"/>
      <sheetName val="Debt"/>
      <sheetName val="Water Proforma"/>
      <sheetName val="Sewer Proforma"/>
      <sheetName val="Water DB"/>
      <sheetName val="Sewer DB"/>
      <sheetName val="Rates"/>
      <sheetName val="Asset List"/>
      <sheetName val="Sheet1"/>
      <sheetName val="Supply Diagra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persons/person.xml><?xml version="1.0" encoding="utf-8"?>
<personList xmlns="http://schemas.microsoft.com/office/spreadsheetml/2018/threadedcomments" xmlns:x="http://schemas.openxmlformats.org/spreadsheetml/2006/main">
  <person displayName="Pete Martinez" id="{E120BC06-8731-4927-86F9-6CF45C097753}" userId="S::pmartinez@cibcsd.com::a1ff9a26-d5c6-43de-8ae2-ea53c9efed90" providerId="AD"/>
</personList>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4" dT="2020-03-03T22:12:32.90" personId="{E120BC06-8731-4927-86F9-6CF45C097753}" id="{3559A2BE-2803-44E5-AE1B-EB5E2E69FD45}">
    <text>Select the enterprise that the budget item is from.</text>
  </threadedComment>
  <threadedComment ref="C8" dT="2020-03-03T22:17:34.24" personId="{E120BC06-8731-4927-86F9-6CF45C097753}" id="{C38FA6E3-4107-4CC0-8A9E-00970088CB60}">
    <text>Fed from the Operating Budget tab</text>
  </threadedComment>
  <threadedComment ref="B13" dT="2020-03-03T22:17:14.34" personId="{E120BC06-8731-4927-86F9-6CF45C097753}" id="{EB342029-DE15-4A6F-BF76-C53D3577D007}">
    <text>Double-check, and update as needed.</text>
  </threadedComment>
  <threadedComment ref="B17" dT="2020-03-03T22:16:55.48" personId="{E120BC06-8731-4927-86F9-6CF45C097753}" id="{760248AD-0C0D-4BC3-AA09-F20A0731F506}">
    <text>Include any changes from the previous year. Explain any anomalies, new initiatives, or sharp changes in costs/revenues.</text>
  </threadedComment>
  <threadedComment ref="D22" dT="2020-03-03T22:02:48.29" personId="{E120BC06-8731-4927-86F9-6CF45C097753}" id="{BD9576D9-EF93-44B9-84AD-E138F10B6CB8}">
    <text>Get these figures from the Financial Plan Model</text>
  </threadedComment>
  <threadedComment ref="C26" dT="2020-03-03T22:08:48.62" personId="{E120BC06-8731-4927-86F9-6CF45C097753}" id="{0DCFB354-DACF-4396-9495-79EE2128F40C}">
    <text>This number is usually in light gray on most sheets. Double click the "Rounded To" cell and it will appear. It roundsup to the nearest hundredth, thousandths, etc. based on the number chosen.</text>
  </threadedComment>
</ThreadedComments>
</file>

<file path=xl/threadedComments/threadedComment2.xml><?xml version="1.0" encoding="utf-8"?>
<ThreadedComments xmlns="http://schemas.microsoft.com/office/spreadsheetml/2018/threadedcomments" xmlns:x="http://schemas.openxmlformats.org/spreadsheetml/2006/main">
  <threadedComment ref="B120" dT="2020-03-03T23:14:36.57" personId="{E120BC06-8731-4927-86F9-6CF45C097753}" id="{20BDDAB6-56D4-4682-9FEC-0F52C6432CAC}">
    <text>For columns I, K, M, O -- need to type in values for each (between rows 121 and 129).</text>
  </threadedComment>
  <threadedComment ref="B123" dT="2020-03-03T23:19:10.87" personId="{E120BC06-8731-4927-86F9-6CF45C097753}" id="{50ADA7D2-9F82-4334-8E7B-02114CA742D0}">
    <text>Look at the FP model to see what the appropriate amount to send to Capital Reserves are.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7.bin"/><Relationship Id="rId4" Type="http://schemas.microsoft.com/office/2017/10/relationships/threadedComment" Target="../threadedComments/threadedComment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B2:IS67"/>
  <sheetViews>
    <sheetView workbookViewId="0">
      <selection activeCell="K17" sqref="K17"/>
    </sheetView>
  </sheetViews>
  <sheetFormatPr defaultColWidth="8.85546875" defaultRowHeight="12.75"/>
  <cols>
    <col min="2" max="2" width="15.140625" customWidth="1"/>
    <col min="3" max="8" width="13.7109375" customWidth="1"/>
  </cols>
  <sheetData>
    <row r="2" spans="2:11" ht="14.1" customHeight="1">
      <c r="B2" s="36" t="str">
        <f>"FY "&amp;MASTER!$B$4&amp;" - "&amp;MASTER!$B$5&amp;" OPERATING BUDGET"</f>
        <v>FY 2021 - 2022 OPERATING BUDGET</v>
      </c>
      <c r="C2" s="37"/>
      <c r="D2" s="37"/>
      <c r="E2" s="37"/>
      <c r="F2" s="37"/>
      <c r="G2" s="37"/>
      <c r="H2" s="39" t="s">
        <v>0</v>
      </c>
    </row>
    <row r="3" spans="2:11" ht="14.1" customHeight="1">
      <c r="B3" s="40"/>
      <c r="C3" s="40"/>
      <c r="D3" s="40"/>
      <c r="E3" s="40"/>
      <c r="F3" s="40"/>
      <c r="G3" s="40"/>
      <c r="H3" s="40"/>
    </row>
    <row r="4" spans="2:11" ht="23.25" customHeight="1">
      <c r="B4" s="40"/>
      <c r="C4" s="40"/>
      <c r="D4" s="40"/>
      <c r="E4" s="315" t="s">
        <v>1</v>
      </c>
      <c r="F4" s="315"/>
      <c r="G4" s="41"/>
      <c r="H4" s="40"/>
    </row>
    <row r="5" spans="2:11" ht="14.1" customHeight="1">
      <c r="B5" s="42"/>
      <c r="C5" s="42"/>
      <c r="D5" s="42"/>
      <c r="E5" s="312" t="str">
        <f>'Operating Budget'!B12</f>
        <v>Water Revenue</v>
      </c>
      <c r="F5" s="312"/>
      <c r="G5" s="2"/>
      <c r="H5" s="43"/>
    </row>
    <row r="6" spans="2:11" ht="19.5" customHeight="1">
      <c r="B6" s="40"/>
      <c r="C6" s="40"/>
      <c r="D6" s="40"/>
      <c r="E6" s="40"/>
      <c r="H6" s="40"/>
    </row>
    <row r="7" spans="2:11" ht="14.1" customHeight="1">
      <c r="B7" s="40"/>
      <c r="C7" s="40"/>
      <c r="D7" s="40"/>
      <c r="E7" s="40"/>
      <c r="F7" s="44"/>
      <c r="G7" s="44"/>
      <c r="H7" s="40"/>
    </row>
    <row r="8" spans="2:11" ht="14.1" customHeight="1">
      <c r="B8" s="41" t="s">
        <v>2</v>
      </c>
      <c r="C8" s="40">
        <f>'Operating Budget'!C12</f>
        <v>3110</v>
      </c>
      <c r="D8" s="40"/>
      <c r="E8" s="40"/>
      <c r="F8" s="202"/>
      <c r="G8" s="40"/>
      <c r="H8" s="40"/>
    </row>
    <row r="9" spans="2:11" ht="14.1" customHeight="1">
      <c r="B9" s="41" t="s">
        <v>3</v>
      </c>
      <c r="C9" s="40">
        <f>INDEX('Operating Budget'!$A$11:$A$107,MATCH('1'!C8,'Operating Budget'!C11:C107))</f>
        <v>1</v>
      </c>
      <c r="D9" s="40"/>
      <c r="E9" s="40"/>
      <c r="F9" s="40"/>
      <c r="G9" s="40"/>
      <c r="H9" s="40"/>
      <c r="K9" s="5"/>
    </row>
    <row r="10" spans="2:11" ht="14.1" customHeight="1">
      <c r="B10" s="40"/>
      <c r="C10" s="40"/>
      <c r="D10" s="40"/>
      <c r="E10" s="40"/>
      <c r="F10" s="40"/>
      <c r="G10" s="40"/>
      <c r="H10" s="40"/>
      <c r="K10" s="5"/>
    </row>
    <row r="11" spans="2:11" ht="14.1" hidden="1" customHeight="1">
      <c r="B11" s="40"/>
      <c r="C11" s="40"/>
      <c r="D11" s="40"/>
      <c r="E11" s="40"/>
      <c r="F11" s="40"/>
      <c r="G11" s="40"/>
      <c r="H11" s="40"/>
    </row>
    <row r="12" spans="2:11" ht="14.1" customHeight="1">
      <c r="B12" s="41" t="s">
        <v>4</v>
      </c>
      <c r="C12" s="40"/>
      <c r="D12" s="40"/>
      <c r="E12" s="40"/>
      <c r="F12" s="40"/>
      <c r="G12" s="40"/>
      <c r="H12" s="40"/>
      <c r="K12" s="5"/>
    </row>
    <row r="13" spans="2:11" ht="14.1" customHeight="1">
      <c r="B13" s="313" t="s">
        <v>5</v>
      </c>
      <c r="C13" s="313"/>
      <c r="D13" s="313"/>
      <c r="E13" s="313"/>
      <c r="F13" s="313"/>
      <c r="G13" s="313"/>
      <c r="H13" s="313"/>
    </row>
    <row r="14" spans="2:11" ht="14.1" hidden="1" customHeight="1">
      <c r="B14" s="313"/>
      <c r="C14" s="313"/>
      <c r="D14" s="313"/>
      <c r="E14" s="313"/>
      <c r="F14" s="313"/>
      <c r="G14" s="313"/>
      <c r="H14" s="313"/>
    </row>
    <row r="15" spans="2:11" ht="14.1" customHeight="1">
      <c r="B15" s="45"/>
      <c r="C15" s="45"/>
      <c r="D15" s="45"/>
      <c r="E15" s="45"/>
      <c r="F15" s="45"/>
      <c r="G15" s="45"/>
      <c r="H15" s="45"/>
    </row>
    <row r="16" spans="2:11" ht="14.1" customHeight="1">
      <c r="B16" s="41" t="str">
        <f>"Changes for FY "&amp;MASTER!$B$4&amp;" - "&amp;MASTER!$B$5&amp;":"</f>
        <v>Changes for FY 2021 - 2022:</v>
      </c>
      <c r="C16" s="45"/>
      <c r="D16" s="45"/>
      <c r="E16" s="45"/>
      <c r="F16" s="45"/>
      <c r="G16" s="45"/>
      <c r="H16" s="45"/>
    </row>
    <row r="17" spans="2:8" ht="14.1" customHeight="1">
      <c r="B17" s="314" t="s">
        <v>6</v>
      </c>
      <c r="C17" s="314"/>
      <c r="D17" s="314"/>
      <c r="E17" s="314"/>
      <c r="F17" s="314"/>
      <c r="G17" s="314"/>
      <c r="H17" s="314"/>
    </row>
    <row r="18" spans="2:8" ht="14.1" customHeight="1">
      <c r="B18" s="314"/>
      <c r="C18" s="314"/>
      <c r="D18" s="314"/>
      <c r="E18" s="314"/>
      <c r="F18" s="314"/>
      <c r="G18" s="314"/>
      <c r="H18" s="314"/>
    </row>
    <row r="19" spans="2:8" s="5" customFormat="1" ht="14.1" customHeight="1">
      <c r="B19" s="36" t="s">
        <v>7</v>
      </c>
      <c r="C19" s="37"/>
      <c r="D19" s="37"/>
      <c r="E19" s="37"/>
      <c r="F19" s="37"/>
      <c r="G19" s="37"/>
      <c r="H19" s="38"/>
    </row>
    <row r="20" spans="2:8" s="5" customFormat="1" ht="14.1" customHeight="1">
      <c r="B20" s="40"/>
      <c r="C20" s="41"/>
      <c r="D20" s="40"/>
      <c r="E20" s="40"/>
      <c r="F20" s="40"/>
      <c r="G20" s="40"/>
      <c r="H20" s="40"/>
    </row>
    <row r="21" spans="2:8" s="5" customFormat="1" ht="14.1" customHeight="1">
      <c r="B21" s="41" t="str">
        <f>$E$5</f>
        <v>Water Revenue</v>
      </c>
      <c r="C21" s="41"/>
      <c r="D21" s="255">
        <v>0.03</v>
      </c>
      <c r="E21" s="40"/>
      <c r="F21" s="40"/>
      <c r="G21" s="40"/>
      <c r="H21" s="40"/>
    </row>
    <row r="22" spans="2:8" s="5" customFormat="1" ht="14.1" customHeight="1">
      <c r="B22" s="46" t="s">
        <v>8</v>
      </c>
      <c r="C22" s="47"/>
      <c r="D22" s="225">
        <v>1244733.3700000001</v>
      </c>
      <c r="E22" s="218">
        <f>D22/$D$24</f>
        <v>0.53384746894612067</v>
      </c>
      <c r="F22" s="40"/>
      <c r="G22" s="40"/>
      <c r="H22" s="40"/>
    </row>
    <row r="23" spans="2:8" s="5" customFormat="1" ht="14.1" customHeight="1">
      <c r="B23" s="40" t="s">
        <v>9</v>
      </c>
      <c r="C23" s="41"/>
      <c r="D23" s="225">
        <v>1086894</v>
      </c>
      <c r="E23" s="216">
        <f>D23/$D$24</f>
        <v>0.46615253105387933</v>
      </c>
      <c r="F23" s="40"/>
      <c r="G23" s="40"/>
      <c r="H23" s="40"/>
    </row>
    <row r="24" spans="2:8" s="5" customFormat="1" ht="14.1" customHeight="1" thickBot="1">
      <c r="B24" s="49" t="s">
        <v>10</v>
      </c>
      <c r="C24" s="49"/>
      <c r="D24" s="50">
        <f>SUM(D22:D23)</f>
        <v>2331627.37</v>
      </c>
      <c r="E24" s="217">
        <f>D24/$D$24</f>
        <v>1</v>
      </c>
      <c r="F24" s="40"/>
      <c r="G24" s="40"/>
      <c r="H24" s="40"/>
    </row>
    <row r="25" spans="2:8" s="5" customFormat="1" ht="14.1" customHeight="1" thickTop="1">
      <c r="B25" s="40"/>
      <c r="C25" s="41"/>
      <c r="D25" s="40"/>
      <c r="E25" s="40"/>
      <c r="F25" s="40"/>
      <c r="G25" s="40"/>
      <c r="H25" s="40"/>
    </row>
    <row r="26" spans="2:8" s="5" customFormat="1" ht="14.1" customHeight="1">
      <c r="B26" s="41" t="s">
        <v>11</v>
      </c>
      <c r="C26" s="226">
        <v>3</v>
      </c>
      <c r="D26" s="52">
        <f>ROUNDUP(D24,-$C$26)</f>
        <v>2332000</v>
      </c>
      <c r="E26" s="40"/>
      <c r="F26" s="40"/>
      <c r="G26" s="40"/>
      <c r="H26" s="40"/>
    </row>
    <row r="27" spans="2:8" s="5" customFormat="1" ht="14.1" customHeight="1">
      <c r="B27" s="40"/>
      <c r="C27" s="41"/>
      <c r="D27" s="40"/>
      <c r="E27" s="40"/>
      <c r="F27" s="40"/>
      <c r="G27" s="40"/>
      <c r="H27" s="40"/>
    </row>
    <row r="28" spans="2:8" s="5" customFormat="1" ht="14.1" customHeight="1">
      <c r="B28" s="40"/>
      <c r="C28" s="41"/>
      <c r="D28" s="40"/>
      <c r="E28" s="40"/>
      <c r="F28" s="40"/>
      <c r="G28" s="40"/>
      <c r="H28" s="40"/>
    </row>
    <row r="29" spans="2:8" s="5" customFormat="1" ht="14.1" customHeight="1">
      <c r="B29" s="40"/>
      <c r="C29" s="41"/>
      <c r="D29" s="40"/>
      <c r="E29" s="53" t="s">
        <v>12</v>
      </c>
      <c r="F29" s="54" t="s">
        <v>13</v>
      </c>
      <c r="G29" s="54" t="s">
        <v>14</v>
      </c>
      <c r="H29" s="55" t="s">
        <v>15</v>
      </c>
    </row>
    <row r="30" spans="2:8" s="5" customFormat="1" ht="14.1" customHeight="1">
      <c r="B30" s="36"/>
      <c r="C30" s="36"/>
      <c r="D30" s="36"/>
      <c r="E30" s="53" t="str">
        <f>"FY "&amp;MASTER!$B$4-1&amp;" - "&amp;MASTER!$B$4</f>
        <v>FY 2020 - 2021</v>
      </c>
      <c r="F30" s="56">
        <f>MASTER!$B$6</f>
        <v>44255</v>
      </c>
      <c r="G30" s="54" t="str">
        <f>"June "&amp;MASTER!$B$4</f>
        <v>June 2021</v>
      </c>
      <c r="H30" s="55" t="str">
        <f>"FY "&amp;MASTER!$B$4&amp;" - "&amp;MASTER!$B$5</f>
        <v>FY 2021 - 2022</v>
      </c>
    </row>
    <row r="31" spans="2:8" s="5" customFormat="1" ht="14.1" customHeight="1">
      <c r="B31" s="57"/>
      <c r="C31" s="57"/>
      <c r="D31" s="58"/>
      <c r="E31" s="59"/>
      <c r="F31" s="60"/>
      <c r="G31" s="60"/>
      <c r="H31" s="58"/>
    </row>
    <row r="32" spans="2:8" s="5" customFormat="1" ht="14.1" customHeight="1">
      <c r="B32" s="40" t="str">
        <f>$E$5</f>
        <v>Water Revenue</v>
      </c>
      <c r="C32" s="41"/>
      <c r="D32" s="58"/>
      <c r="E32" s="225">
        <v>2264000</v>
      </c>
      <c r="F32" s="225">
        <v>1282167</v>
      </c>
      <c r="G32" s="225">
        <v>2198000</v>
      </c>
      <c r="H32" s="63">
        <f>$D$26</f>
        <v>2332000</v>
      </c>
    </row>
    <row r="33" spans="2:9" s="5" customFormat="1" ht="14.1" customHeight="1">
      <c r="B33" s="40"/>
      <c r="C33" s="41"/>
      <c r="D33" s="58"/>
      <c r="E33" s="59"/>
      <c r="F33" s="60"/>
      <c r="G33" s="60"/>
      <c r="H33" s="58"/>
    </row>
    <row r="34" spans="2:9" s="5" customFormat="1" ht="14.1" customHeight="1">
      <c r="B34" s="40"/>
      <c r="C34" s="41"/>
      <c r="D34" s="58"/>
      <c r="E34" s="58"/>
      <c r="F34" s="58"/>
      <c r="G34" s="58"/>
      <c r="H34" s="58"/>
    </row>
    <row r="35" spans="2:9" s="5" customFormat="1" ht="14.1" customHeight="1">
      <c r="B35" s="40"/>
      <c r="C35" s="41"/>
      <c r="D35" s="58"/>
      <c r="E35" s="58"/>
      <c r="F35" s="58"/>
      <c r="G35" s="58"/>
      <c r="H35" s="58"/>
    </row>
    <row r="36" spans="2:9" s="5" customFormat="1" ht="14.1" customHeight="1">
      <c r="B36" s="40"/>
      <c r="C36" s="41"/>
      <c r="D36" s="58"/>
      <c r="E36" s="58"/>
      <c r="F36" s="58"/>
      <c r="G36" s="58"/>
      <c r="H36" s="58"/>
    </row>
    <row r="37" spans="2:9" s="5" customFormat="1" ht="14.1" customHeight="1">
      <c r="B37" s="40"/>
      <c r="C37" s="41"/>
      <c r="D37" s="40"/>
      <c r="E37" s="58"/>
      <c r="F37" s="58"/>
      <c r="G37" s="58"/>
      <c r="H37" s="58"/>
      <c r="I37" s="40"/>
    </row>
    <row r="38" spans="2:9" s="5" customFormat="1" ht="14.1" customHeight="1">
      <c r="B38" s="2"/>
      <c r="C38" s="1"/>
      <c r="D38" s="2"/>
      <c r="E38" s="2"/>
      <c r="F38" s="2"/>
      <c r="G38" s="2"/>
      <c r="H38" s="2"/>
      <c r="I38" s="2"/>
    </row>
    <row r="39" spans="2:9" s="5" customFormat="1" ht="14.1" customHeight="1">
      <c r="B39" s="2"/>
      <c r="C39" s="1"/>
      <c r="D39" s="2"/>
      <c r="E39" s="40"/>
      <c r="F39" s="40"/>
      <c r="G39" s="40"/>
      <c r="H39" s="40"/>
      <c r="I39" s="40"/>
    </row>
    <row r="40" spans="2:9" s="5" customFormat="1" ht="14.1" customHeight="1">
      <c r="C40" s="3"/>
    </row>
    <row r="41" spans="2:9" s="5" customFormat="1" ht="14.1" customHeight="1">
      <c r="C41" s="3"/>
    </row>
    <row r="42" spans="2:9" s="5" customFormat="1" ht="14.1" customHeight="1"/>
    <row r="43" spans="2:9" s="5" customFormat="1" ht="14.1" customHeight="1">
      <c r="E43" s="20"/>
    </row>
    <row r="44" spans="2:9" s="5" customFormat="1" ht="12.75" customHeight="1">
      <c r="E44" s="20"/>
    </row>
    <row r="45" spans="2:9" s="5" customFormat="1" ht="12.75" customHeight="1">
      <c r="E45" s="20"/>
    </row>
    <row r="46" spans="2:9" s="5" customFormat="1" ht="12.75" customHeight="1">
      <c r="E46" s="20"/>
      <c r="F46" s="6"/>
    </row>
    <row r="47" spans="2:9" s="5" customFormat="1" ht="12.75" customHeight="1">
      <c r="E47" s="20"/>
    </row>
    <row r="48" spans="2:9" s="5" customFormat="1" ht="12.75" customHeight="1">
      <c r="D48" s="21"/>
      <c r="E48" s="20"/>
    </row>
    <row r="49" spans="4:253" s="5" customFormat="1" ht="12.75" customHeight="1">
      <c r="D49" s="21"/>
      <c r="E49" s="20"/>
    </row>
    <row r="50" spans="4:253" s="5" customFormat="1" ht="12.75" customHeight="1">
      <c r="E50" s="20"/>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row>
    <row r="51" spans="4:253" s="5" customFormat="1" ht="12.75" customHeight="1">
      <c r="D51" s="21"/>
      <c r="E51" s="20"/>
    </row>
    <row r="52" spans="4:253" s="5" customFormat="1" ht="12.75" customHeight="1">
      <c r="E52" s="20"/>
    </row>
    <row r="53" spans="4:253" ht="12.75" customHeight="1">
      <c r="E53" s="20"/>
    </row>
    <row r="54" spans="4:253" ht="12.75" customHeight="1">
      <c r="E54" s="4"/>
    </row>
    <row r="55" spans="4:253">
      <c r="E55" s="3"/>
    </row>
    <row r="67" spans="4:5">
      <c r="D67" s="3"/>
      <c r="E67" s="3"/>
    </row>
  </sheetData>
  <mergeCells count="4">
    <mergeCell ref="E5:F5"/>
    <mergeCell ref="B13:H14"/>
    <mergeCell ref="B17:H18"/>
    <mergeCell ref="E4:F4"/>
  </mergeCells>
  <dataValidations count="1">
    <dataValidation type="list" allowBlank="1" showInputMessage="1" showErrorMessage="1" sqref="E4" xr:uid="{00000000-0002-0000-0600-000000000000}">
      <formula1>enterprise</formula1>
    </dataValidation>
  </dataValidations>
  <pageMargins left="0.7" right="0.7" top="0.75" bottom="0.75" header="0.3" footer="0.3"/>
  <pageSetup scale="94"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pageSetUpPr fitToPage="1"/>
  </sheetPr>
  <dimension ref="B2:IS66"/>
  <sheetViews>
    <sheetView workbookViewId="0">
      <selection activeCell="E28" sqref="E28"/>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E34</f>
        <v>10600</v>
      </c>
      <c r="K2" s="120">
        <f t="shared" ref="K2:M2" si="0">F34</f>
        <v>8200</v>
      </c>
      <c r="L2" s="120">
        <f t="shared" si="0"/>
        <v>11000</v>
      </c>
      <c r="M2" s="120">
        <f t="shared" si="0"/>
        <v>11000</v>
      </c>
    </row>
    <row r="3" spans="2:13" ht="14.1" customHeight="1">
      <c r="B3" s="40"/>
      <c r="C3" s="40"/>
      <c r="D3" s="40"/>
      <c r="E3" s="40"/>
      <c r="F3" s="40"/>
      <c r="G3" s="40"/>
      <c r="H3" s="40"/>
      <c r="J3" s="121">
        <f>C39</f>
        <v>1</v>
      </c>
      <c r="K3" s="121"/>
      <c r="L3" s="121"/>
      <c r="M3" s="121"/>
    </row>
    <row r="4" spans="2:13" ht="23.25" customHeight="1">
      <c r="B4" s="40"/>
      <c r="C4" s="40"/>
      <c r="D4" s="40"/>
      <c r="E4" s="316" t="s">
        <v>1</v>
      </c>
      <c r="F4" s="316"/>
      <c r="G4" s="41"/>
      <c r="H4" s="40"/>
      <c r="J4" s="121">
        <f t="shared" ref="J4:J6" si="1">C40</f>
        <v>0</v>
      </c>
    </row>
    <row r="5" spans="2:13" ht="14.1" customHeight="1">
      <c r="B5" s="42"/>
      <c r="C5" s="42"/>
      <c r="D5" s="312" t="str">
        <f>'Operating Budget'!B27</f>
        <v>Telemetry</v>
      </c>
      <c r="E5" s="312"/>
      <c r="F5" s="312"/>
      <c r="G5" s="312"/>
      <c r="H5" s="43"/>
      <c r="J5" s="121">
        <f t="shared" si="1"/>
        <v>0</v>
      </c>
    </row>
    <row r="6" spans="2:13" ht="19.5" customHeight="1">
      <c r="B6" s="40"/>
      <c r="C6" s="40"/>
      <c r="D6" s="40"/>
      <c r="E6" s="40"/>
      <c r="H6" s="40"/>
      <c r="J6" s="121">
        <f t="shared" si="1"/>
        <v>0</v>
      </c>
    </row>
    <row r="7" spans="2:13" ht="14.1" customHeight="1">
      <c r="B7" s="40"/>
      <c r="C7" s="40"/>
      <c r="D7" s="40"/>
      <c r="E7" s="40"/>
      <c r="F7" s="44"/>
      <c r="G7" s="44"/>
      <c r="H7" s="202"/>
    </row>
    <row r="8" spans="2:13" ht="14.1" customHeight="1">
      <c r="B8" s="41" t="s">
        <v>2</v>
      </c>
      <c r="C8" s="40">
        <f>'Operating Budget'!C27</f>
        <v>4240</v>
      </c>
      <c r="D8" s="40"/>
      <c r="E8" s="40"/>
      <c r="F8" s="40"/>
      <c r="G8" s="40"/>
      <c r="H8" s="40"/>
    </row>
    <row r="9" spans="2:13" ht="14.1" customHeight="1">
      <c r="B9" s="41" t="s">
        <v>3</v>
      </c>
      <c r="C9" s="40">
        <f>INDEX('Operating Budget'!$A$11:$A$107,MATCH('10'!C8,'Operating Budget'!C11:C107))</f>
        <v>10</v>
      </c>
      <c r="D9" s="40"/>
      <c r="E9" s="40"/>
      <c r="F9" s="40"/>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75</v>
      </c>
      <c r="C13" s="319"/>
      <c r="D13" s="319"/>
      <c r="E13" s="319"/>
      <c r="F13" s="319"/>
      <c r="G13" s="319"/>
      <c r="H13" s="319"/>
    </row>
    <row r="14" spans="2:13" ht="14.1" customHeight="1">
      <c r="B14" s="319"/>
      <c r="C14" s="319"/>
      <c r="D14" s="319"/>
      <c r="E14" s="319"/>
      <c r="F14" s="319"/>
      <c r="G14" s="319"/>
      <c r="H14" s="319"/>
    </row>
    <row r="15" spans="2:13" ht="14.1" customHeight="1">
      <c r="B15" s="319"/>
      <c r="C15" s="319"/>
      <c r="D15" s="319"/>
      <c r="E15" s="319"/>
      <c r="F15" s="319"/>
      <c r="G15" s="319"/>
      <c r="H15" s="319"/>
    </row>
    <row r="16" spans="2:13" ht="14.1" hidden="1" customHeight="1">
      <c r="B16" s="319"/>
      <c r="C16" s="319"/>
      <c r="D16" s="319"/>
      <c r="E16" s="319"/>
      <c r="F16" s="319"/>
      <c r="G16" s="319"/>
      <c r="H16" s="319"/>
    </row>
    <row r="17" spans="2:13" ht="14.1" customHeight="1">
      <c r="B17" s="45"/>
      <c r="C17" s="45"/>
      <c r="D17" s="45"/>
      <c r="E17" s="45"/>
      <c r="F17" s="45"/>
      <c r="G17" s="45"/>
      <c r="H17" s="45"/>
    </row>
    <row r="18" spans="2:13" ht="14.1" customHeight="1">
      <c r="B18" s="41" t="str">
        <f>"Changes for FY "&amp;MASTER!$B$4&amp;" - "&amp;MASTER!$B$5&amp;":"</f>
        <v>Changes for FY 2021 - 2022:</v>
      </c>
      <c r="C18" s="45"/>
      <c r="D18" s="45"/>
      <c r="E18" s="236"/>
      <c r="F18" s="45"/>
      <c r="G18" s="45"/>
      <c r="H18" s="45"/>
    </row>
    <row r="19" spans="2:13" ht="14.1" customHeight="1">
      <c r="B19" s="319" t="s">
        <v>43</v>
      </c>
      <c r="C19" s="319"/>
      <c r="D19" s="319"/>
      <c r="E19" s="319"/>
      <c r="F19" s="319"/>
      <c r="G19" s="319"/>
      <c r="H19" s="319"/>
    </row>
    <row r="20" spans="2:13" ht="14.1" hidden="1" customHeight="1">
      <c r="B20" s="319"/>
      <c r="C20" s="319"/>
      <c r="D20" s="319"/>
      <c r="E20" s="319"/>
      <c r="F20" s="319"/>
      <c r="G20" s="319"/>
      <c r="H20" s="319"/>
    </row>
    <row r="21" spans="2:13" ht="14.1" customHeight="1">
      <c r="B21" s="319"/>
      <c r="C21" s="319"/>
      <c r="D21" s="319"/>
      <c r="E21" s="319"/>
      <c r="F21" s="319"/>
      <c r="G21" s="319"/>
      <c r="H21" s="319"/>
    </row>
    <row r="22" spans="2:13" s="5" customFormat="1" ht="14.1" customHeight="1">
      <c r="B22" s="36" t="s">
        <v>7</v>
      </c>
      <c r="C22" s="37"/>
      <c r="D22" s="37"/>
      <c r="E22" s="37"/>
      <c r="F22" s="37"/>
      <c r="G22" s="37"/>
      <c r="H22" s="38"/>
    </row>
    <row r="23" spans="2:13" s="5" customFormat="1" ht="14.1" customHeight="1">
      <c r="B23" s="40"/>
      <c r="C23" s="41"/>
      <c r="D23" s="40"/>
      <c r="E23" s="40"/>
      <c r="F23" s="40"/>
      <c r="G23" s="40"/>
      <c r="H23" s="40"/>
    </row>
    <row r="24" spans="2:13" s="5" customFormat="1" ht="14.1" customHeight="1">
      <c r="B24" s="67" t="str">
        <f>$D$5</f>
        <v>Telemetry</v>
      </c>
      <c r="C24" s="67"/>
      <c r="D24" s="68" t="s">
        <v>29</v>
      </c>
      <c r="E24" s="68" t="s">
        <v>30</v>
      </c>
      <c r="F24" s="68" t="s">
        <v>10</v>
      </c>
      <c r="G24" s="69" t="s">
        <v>31</v>
      </c>
      <c r="H24" s="40"/>
      <c r="J24" s="73" t="s">
        <v>32</v>
      </c>
      <c r="K24" s="73" t="s">
        <v>33</v>
      </c>
      <c r="L24" s="73" t="s">
        <v>34</v>
      </c>
      <c r="M24" s="73" t="s">
        <v>35</v>
      </c>
    </row>
    <row r="25" spans="2:13" s="5" customFormat="1" ht="14.1" customHeight="1">
      <c r="B25" s="64" t="s">
        <v>76</v>
      </c>
      <c r="C25" s="57"/>
      <c r="D25" s="83">
        <v>12</v>
      </c>
      <c r="E25" s="66">
        <v>910</v>
      </c>
      <c r="F25" s="66">
        <f>PRODUCT(E25,D25)</f>
        <v>10920</v>
      </c>
      <c r="G25" s="71" t="s">
        <v>37</v>
      </c>
      <c r="H25" s="40"/>
      <c r="J25" s="74">
        <f>INDEX(MASTER!$C$25:$F$42,MATCH($G25,allocation,0),MATCH(J$24,MASTER!$C$24:$F$24,0))</f>
        <v>1</v>
      </c>
      <c r="K25" s="74">
        <f>INDEX(MASTER!$C$25:$F$42,MATCH($G25,allocation,0),MATCH(K$24,MASTER!$C$24:$F$24,0))</f>
        <v>0</v>
      </c>
      <c r="L25" s="74">
        <f>INDEX(MASTER!$C$25:$F$42,MATCH($G25,allocation,0),MATCH(L$24,MASTER!$C$24:$F$24,0))</f>
        <v>0</v>
      </c>
      <c r="M25" s="74">
        <f>INDEX(MASTER!$C$25:$F$42,MATCH($G25,allocation,0),MATCH(M$24,MASTER!$C$24:$F$24,0))</f>
        <v>0</v>
      </c>
    </row>
    <row r="26" spans="2:13" s="5" customFormat="1" ht="14.1" customHeight="1" thickBot="1">
      <c r="B26" s="49" t="s">
        <v>10</v>
      </c>
      <c r="C26" s="49"/>
      <c r="D26" s="49"/>
      <c r="E26" s="49"/>
      <c r="F26" s="50">
        <f>SUM(F25:F25)</f>
        <v>10920</v>
      </c>
      <c r="G26" s="49"/>
      <c r="H26" s="40"/>
    </row>
    <row r="27" spans="2:13" s="5" customFormat="1" ht="14.1" customHeight="1" thickTop="1">
      <c r="B27" s="40"/>
      <c r="C27" s="41"/>
      <c r="G27" s="40"/>
      <c r="H27" s="40"/>
    </row>
    <row r="28" spans="2:13" s="5" customFormat="1" ht="14.1" customHeight="1">
      <c r="B28" s="41" t="s">
        <v>11</v>
      </c>
      <c r="C28" s="35">
        <f>ROUNDUP($F$26,-$B$29)</f>
        <v>11000</v>
      </c>
      <c r="F28" s="40"/>
      <c r="G28" s="40"/>
      <c r="H28" s="40"/>
    </row>
    <row r="29" spans="2:13" s="5" customFormat="1" ht="14.1" customHeight="1">
      <c r="B29" s="51">
        <v>2</v>
      </c>
      <c r="C29" s="41"/>
      <c r="D29" s="40"/>
      <c r="E29" s="40"/>
      <c r="F29" s="40"/>
      <c r="G29" s="40"/>
      <c r="H29" s="40"/>
    </row>
    <row r="30" spans="2:13" s="5" customFormat="1" ht="14.1" customHeight="1">
      <c r="B30" s="40"/>
      <c r="C30" s="41"/>
      <c r="D30" s="40"/>
      <c r="E30" s="40"/>
      <c r="F30" s="40"/>
      <c r="G30" s="40"/>
      <c r="H30" s="40"/>
    </row>
    <row r="31" spans="2:13" s="5" customFormat="1" ht="14.1" customHeight="1">
      <c r="B31" s="40"/>
      <c r="C31" s="41"/>
      <c r="D31" s="40"/>
      <c r="E31" s="53" t="s">
        <v>12</v>
      </c>
      <c r="F31" s="54" t="s">
        <v>13</v>
      </c>
      <c r="G31" s="54" t="s">
        <v>14</v>
      </c>
      <c r="H31" s="55" t="s">
        <v>15</v>
      </c>
    </row>
    <row r="32" spans="2:13" s="5" customFormat="1" ht="14.1" customHeight="1">
      <c r="B32" s="36"/>
      <c r="C32" s="36"/>
      <c r="D32" s="36"/>
      <c r="E32" s="53" t="str">
        <f>"FY "&amp;MASTER!$B$4-1&amp;" - "&amp;MASTER!$B$4</f>
        <v>FY 2020 - 2021</v>
      </c>
      <c r="F32" s="56">
        <f>MASTER!$B$6</f>
        <v>44255</v>
      </c>
      <c r="G32" s="54" t="str">
        <f>"June "&amp;MASTER!$B$4</f>
        <v>June 2021</v>
      </c>
      <c r="H32" s="55" t="str">
        <f>"FY "&amp;MASTER!$B$4&amp;" - "&amp;MASTER!$B$5</f>
        <v>FY 2021 - 2022</v>
      </c>
    </row>
    <row r="33" spans="2:8" s="5" customFormat="1" ht="14.1" customHeight="1">
      <c r="B33" s="57"/>
      <c r="C33" s="57"/>
      <c r="D33" s="58"/>
      <c r="E33" s="59"/>
      <c r="F33" s="60"/>
      <c r="G33" s="60"/>
      <c r="H33" s="58"/>
    </row>
    <row r="34" spans="2:8" s="5" customFormat="1" ht="14.1" customHeight="1">
      <c r="B34" s="40" t="str">
        <f>$D$5</f>
        <v>Telemetry</v>
      </c>
      <c r="C34" s="41"/>
      <c r="D34" s="58"/>
      <c r="E34" s="61">
        <v>10600</v>
      </c>
      <c r="F34" s="62">
        <v>8200</v>
      </c>
      <c r="G34" s="62">
        <v>11000</v>
      </c>
      <c r="H34" s="63">
        <f>C28</f>
        <v>11000</v>
      </c>
    </row>
    <row r="35" spans="2:8" s="5" customFormat="1" ht="14.1" customHeight="1">
      <c r="B35" s="40"/>
      <c r="C35" s="41"/>
      <c r="D35" s="58"/>
      <c r="E35" s="59"/>
      <c r="F35" s="59"/>
      <c r="G35" s="58"/>
      <c r="H35" s="82"/>
    </row>
    <row r="36" spans="2:8" s="5" customFormat="1" ht="14.1" customHeight="1">
      <c r="B36" s="2"/>
      <c r="C36" s="1"/>
    </row>
    <row r="37" spans="2:8" s="5" customFormat="1" ht="14.1" customHeight="1">
      <c r="B37" s="2"/>
      <c r="C37" s="1"/>
    </row>
    <row r="38" spans="2:8" s="5" customFormat="1" ht="14.1" customHeight="1">
      <c r="B38" s="36" t="s">
        <v>39</v>
      </c>
      <c r="C38" s="36"/>
      <c r="D38" s="55" t="s">
        <v>40</v>
      </c>
      <c r="E38" s="55" t="s">
        <v>41</v>
      </c>
    </row>
    <row r="39" spans="2:8" s="5" customFormat="1" ht="14.1" customHeight="1">
      <c r="B39" s="75" t="s">
        <v>32</v>
      </c>
      <c r="C39" s="84">
        <f>E39/E43</f>
        <v>1</v>
      </c>
      <c r="D39" s="78">
        <f>SUMPRODUCT($F$25:$F$25,$J$25:$J$25)</f>
        <v>10920</v>
      </c>
      <c r="E39" s="78">
        <f>$D39+($C$28-SUM($D$39:$D$42))*($D39/$D$43)</f>
        <v>11000</v>
      </c>
    </row>
    <row r="40" spans="2:8" s="5" customFormat="1" ht="14.1" customHeight="1">
      <c r="B40" s="75" t="s">
        <v>33</v>
      </c>
      <c r="C40" s="84">
        <f>E40/E43</f>
        <v>0</v>
      </c>
      <c r="D40" s="78">
        <f>SUMPRODUCT($F$25:$F$25,$K$25:$K$25)</f>
        <v>0</v>
      </c>
      <c r="E40" s="78">
        <f t="shared" ref="E40:E42" si="2">$D40+($C$28-SUM($D$39:$D$42))*($D40/$D$43)</f>
        <v>0</v>
      </c>
    </row>
    <row r="41" spans="2:8" s="5" customFormat="1" ht="14.1" customHeight="1">
      <c r="B41" s="75" t="s">
        <v>34</v>
      </c>
      <c r="C41" s="84">
        <f>E41/E43</f>
        <v>0</v>
      </c>
      <c r="D41" s="78">
        <f>SUMPRODUCT($F$25:$F$25,$L$25:$L$25)</f>
        <v>0</v>
      </c>
      <c r="E41" s="78">
        <f t="shared" si="2"/>
        <v>0</v>
      </c>
    </row>
    <row r="42" spans="2:8" s="5" customFormat="1" ht="14.1" customHeight="1">
      <c r="B42" s="75" t="s">
        <v>35</v>
      </c>
      <c r="C42" s="84">
        <f>E42/E43</f>
        <v>0</v>
      </c>
      <c r="D42" s="78">
        <f>SUMPRODUCT($F$25:$F$25,$M$25:$M$25)</f>
        <v>0</v>
      </c>
      <c r="E42" s="78">
        <f t="shared" si="2"/>
        <v>0</v>
      </c>
    </row>
    <row r="43" spans="2:8" s="5" customFormat="1" ht="12.75" customHeight="1">
      <c r="B43" s="77" t="s">
        <v>10</v>
      </c>
      <c r="C43" s="85">
        <f>SUM(C39:C42)</f>
        <v>1</v>
      </c>
      <c r="D43" s="79">
        <f>SUM(D39:D42)</f>
        <v>10920</v>
      </c>
      <c r="E43" s="79">
        <f>SUM(E39:E42)</f>
        <v>11000</v>
      </c>
    </row>
    <row r="44" spans="2:8" s="5" customFormat="1" ht="12.75" customHeight="1">
      <c r="B44" s="2"/>
      <c r="C44" s="2"/>
      <c r="D44" s="2"/>
      <c r="E44" s="76"/>
    </row>
    <row r="45" spans="2:8" s="5" customFormat="1" ht="12.75" customHeight="1">
      <c r="E45" s="20"/>
      <c r="F45" s="6"/>
    </row>
    <row r="46" spans="2:8" s="5" customFormat="1" ht="12.75" customHeight="1">
      <c r="E46" s="20"/>
    </row>
    <row r="47" spans="2:8" s="5" customFormat="1" ht="12.75" customHeight="1">
      <c r="D47" s="21"/>
      <c r="E47" s="20"/>
    </row>
    <row r="48" spans="2:8" s="5" customFormat="1" ht="12.75" customHeight="1">
      <c r="D48" s="21"/>
      <c r="E48" s="20"/>
    </row>
    <row r="49" spans="4:253" s="5" customFormat="1" ht="12.75" customHeight="1">
      <c r="E49" s="20"/>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row>
    <row r="50" spans="4:253" s="5" customFormat="1" ht="12.75" customHeight="1">
      <c r="D50" s="21"/>
      <c r="E50" s="20"/>
    </row>
    <row r="51" spans="4:253" s="5" customFormat="1" ht="12.75" customHeight="1">
      <c r="E51" s="20"/>
    </row>
    <row r="52" spans="4:253" ht="12.75" customHeight="1">
      <c r="E52" s="20"/>
    </row>
    <row r="53" spans="4:253" ht="12.75" customHeight="1">
      <c r="E53" s="4"/>
    </row>
    <row r="54" spans="4:253">
      <c r="E54" s="3"/>
    </row>
    <row r="66" spans="4:5">
      <c r="D66" s="3"/>
      <c r="E66" s="3"/>
    </row>
  </sheetData>
  <mergeCells count="4">
    <mergeCell ref="E4:F4"/>
    <mergeCell ref="D5:G5"/>
    <mergeCell ref="B13:H16"/>
    <mergeCell ref="B19:H21"/>
  </mergeCells>
  <dataValidations count="2">
    <dataValidation type="list" allowBlank="1" showInputMessage="1" showErrorMessage="1" sqref="G25" xr:uid="{00000000-0002-0000-0F00-000000000000}">
      <formula1>allocation</formula1>
    </dataValidation>
    <dataValidation type="list" allowBlank="1" showInputMessage="1" showErrorMessage="1" sqref="E4" xr:uid="{00000000-0002-0000-0F00-000001000000}">
      <formula1>enterprise</formula1>
    </dataValidation>
  </dataValidations>
  <pageMargins left="0.7" right="0.7" top="0.75" bottom="0.75" header="0.3" footer="0.3"/>
  <pageSetup scale="9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B2:IS69"/>
  <sheetViews>
    <sheetView topLeftCell="A3" workbookViewId="0">
      <selection activeCell="G16" sqref="G16"/>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E37</f>
        <v>980000</v>
      </c>
      <c r="K2" s="120">
        <f t="shared" ref="K2:M2" si="0">F37</f>
        <v>697660</v>
      </c>
      <c r="L2" s="120">
        <f t="shared" si="0"/>
        <v>940208</v>
      </c>
      <c r="M2" s="120">
        <f t="shared" si="0"/>
        <v>940000</v>
      </c>
    </row>
    <row r="3" spans="2:13" ht="14.1" customHeight="1">
      <c r="B3" s="40"/>
      <c r="C3" s="40"/>
      <c r="D3" s="40"/>
      <c r="E3" s="40"/>
      <c r="F3" s="40"/>
      <c r="G3" s="40"/>
      <c r="H3" s="40"/>
      <c r="J3" s="121">
        <f>C42</f>
        <v>0</v>
      </c>
      <c r="K3" s="121"/>
      <c r="L3" s="121"/>
      <c r="M3" s="121"/>
    </row>
    <row r="4" spans="2:13" ht="23.25" customHeight="1">
      <c r="B4" s="40"/>
      <c r="C4" s="40"/>
      <c r="D4" s="40"/>
      <c r="E4" s="316" t="s">
        <v>16</v>
      </c>
      <c r="F4" s="316"/>
      <c r="G4" s="41"/>
      <c r="H4" s="40"/>
      <c r="J4" s="121">
        <f t="shared" ref="J4:J7" si="1">C43</f>
        <v>1</v>
      </c>
    </row>
    <row r="5" spans="2:13" ht="14.1" customHeight="1">
      <c r="B5" s="42"/>
      <c r="C5" s="42"/>
      <c r="D5" s="312" t="str">
        <f>'Operating Budget'!B31</f>
        <v>Wastewater Transportation</v>
      </c>
      <c r="E5" s="312"/>
      <c r="F5" s="312"/>
      <c r="G5" s="312"/>
      <c r="H5" s="43"/>
      <c r="J5" s="121">
        <f t="shared" si="1"/>
        <v>0</v>
      </c>
    </row>
    <row r="6" spans="2:13" ht="19.5" customHeight="1">
      <c r="B6" s="40"/>
      <c r="C6" s="40"/>
      <c r="D6" s="40"/>
      <c r="E6" s="40"/>
      <c r="H6" s="40"/>
      <c r="J6" s="121">
        <f t="shared" si="1"/>
        <v>0</v>
      </c>
    </row>
    <row r="7" spans="2:13" ht="14.1" hidden="1" customHeight="1">
      <c r="B7" s="40"/>
      <c r="C7" s="40"/>
      <c r="D7" s="40"/>
      <c r="E7" s="40"/>
      <c r="F7" s="44"/>
      <c r="G7" s="44"/>
      <c r="H7" s="40"/>
      <c r="J7" s="121">
        <f t="shared" si="1"/>
        <v>1</v>
      </c>
    </row>
    <row r="8" spans="2:13" ht="14.1" customHeight="1">
      <c r="B8" s="41" t="s">
        <v>2</v>
      </c>
      <c r="C8" s="40">
        <f>'Operating Budget'!C31</f>
        <v>4260</v>
      </c>
      <c r="D8" s="40"/>
      <c r="E8" s="40"/>
      <c r="F8" s="40"/>
      <c r="G8" s="40"/>
      <c r="H8" s="40"/>
    </row>
    <row r="9" spans="2:13" ht="14.1" customHeight="1">
      <c r="B9" s="41" t="s">
        <v>3</v>
      </c>
      <c r="C9" s="40">
        <f>INDEX('Operating Budget'!$A$11:$A$107,MATCH('11'!C8,'Operating Budget'!C11:C107))</f>
        <v>11</v>
      </c>
      <c r="D9" s="40"/>
      <c r="E9" s="40"/>
      <c r="F9" s="40"/>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77</v>
      </c>
      <c r="C13" s="319"/>
      <c r="D13" s="319"/>
      <c r="E13" s="319"/>
      <c r="F13" s="319"/>
      <c r="G13" s="319"/>
      <c r="H13" s="319"/>
    </row>
    <row r="14" spans="2:13" ht="14.1" customHeight="1">
      <c r="B14" s="319"/>
      <c r="C14" s="319"/>
      <c r="D14" s="319"/>
      <c r="E14" s="319"/>
      <c r="F14" s="319"/>
      <c r="G14" s="319"/>
      <c r="H14" s="319"/>
    </row>
    <row r="15" spans="2:13" ht="14.1" customHeight="1">
      <c r="B15" s="319"/>
      <c r="C15" s="319"/>
      <c r="D15" s="319"/>
      <c r="E15" s="319"/>
      <c r="F15" s="319"/>
      <c r="G15" s="319"/>
      <c r="H15" s="319"/>
    </row>
    <row r="16" spans="2:13" ht="14.1" customHeight="1">
      <c r="B16" s="45"/>
      <c r="C16" s="45"/>
      <c r="D16" s="45"/>
      <c r="E16" s="236"/>
      <c r="F16" s="45"/>
      <c r="G16" s="45"/>
      <c r="H16" s="45"/>
    </row>
    <row r="17" spans="2:13" ht="14.1" customHeight="1">
      <c r="B17" s="41" t="str">
        <f>"Changes for FY "&amp;MASTER!$B$4&amp;" - "&amp;MASTER!$B$5&amp;":"</f>
        <v>Changes for FY 2021 - 2022:</v>
      </c>
      <c r="C17" s="45"/>
      <c r="D17" s="45"/>
      <c r="E17" s="45"/>
      <c r="F17" s="45"/>
      <c r="G17" s="45"/>
      <c r="H17" s="45"/>
    </row>
    <row r="18" spans="2:13" ht="14.1" customHeight="1">
      <c r="B18" s="318" t="s">
        <v>78</v>
      </c>
      <c r="C18" s="318"/>
      <c r="D18" s="318"/>
      <c r="E18" s="318"/>
      <c r="F18" s="318"/>
      <c r="G18" s="318"/>
      <c r="H18" s="318"/>
    </row>
    <row r="19" spans="2:13" ht="14.1" hidden="1" customHeight="1">
      <c r="B19" s="318"/>
      <c r="C19" s="318"/>
      <c r="D19" s="318"/>
      <c r="E19" s="318"/>
      <c r="F19" s="318"/>
      <c r="G19" s="318"/>
      <c r="H19" s="318"/>
    </row>
    <row r="20" spans="2:13" ht="14.1" customHeight="1">
      <c r="B20" s="310"/>
      <c r="C20" s="310"/>
      <c r="D20" s="310"/>
      <c r="E20" s="310"/>
      <c r="F20" s="310"/>
      <c r="G20" s="310"/>
      <c r="H20" s="310"/>
    </row>
    <row r="21" spans="2:13" s="5" customFormat="1" ht="14.1" customHeight="1">
      <c r="B21" s="36" t="s">
        <v>7</v>
      </c>
      <c r="C21" s="37"/>
      <c r="D21" s="37"/>
      <c r="E21" s="37"/>
      <c r="F21" s="37"/>
      <c r="G21" s="37"/>
      <c r="H21" s="38"/>
    </row>
    <row r="22" spans="2:13" s="5" customFormat="1" ht="14.1" customHeight="1">
      <c r="B22" s="40"/>
      <c r="C22" s="41"/>
      <c r="D22" s="40"/>
      <c r="E22" s="40"/>
      <c r="F22" s="40"/>
      <c r="G22" s="40"/>
      <c r="H22" s="40"/>
    </row>
    <row r="23" spans="2:13" s="5" customFormat="1" ht="14.1" customHeight="1">
      <c r="B23" s="309" t="str">
        <f>$D$5</f>
        <v>Wastewater Transportation</v>
      </c>
      <c r="C23" s="67"/>
      <c r="D23" s="68" t="s">
        <v>29</v>
      </c>
      <c r="E23" s="68" t="s">
        <v>79</v>
      </c>
      <c r="F23" s="68" t="s">
        <v>10</v>
      </c>
      <c r="G23" s="69" t="s">
        <v>31</v>
      </c>
      <c r="H23" s="40"/>
      <c r="J23" s="73" t="s">
        <v>32</v>
      </c>
      <c r="K23" s="73" t="s">
        <v>33</v>
      </c>
      <c r="L23" s="73" t="s">
        <v>34</v>
      </c>
      <c r="M23" s="73" t="s">
        <v>35</v>
      </c>
    </row>
    <row r="24" spans="2:13" s="5" customFormat="1" ht="14.1" customHeight="1">
      <c r="B24" s="64" t="s">
        <v>80</v>
      </c>
      <c r="C24" s="57"/>
      <c r="D24" s="80">
        <v>332.76</v>
      </c>
      <c r="E24" s="308">
        <v>1802.97</v>
      </c>
      <c r="F24" s="66">
        <f>PRODUCT(E24,D24)</f>
        <v>599956.29720000003</v>
      </c>
      <c r="G24" s="71" t="s">
        <v>81</v>
      </c>
      <c r="H24" s="40"/>
      <c r="J24" s="74">
        <f>INDEX(MASTER!$C$25:$F$42,MATCH($G24,allocation,0),MATCH(J$23,MASTER!$C$24:$F$24,0))</f>
        <v>0</v>
      </c>
      <c r="K24" s="74">
        <f>INDEX(MASTER!$C$25:$F$42,MATCH($G24,allocation,0),MATCH(K$23,MASTER!$C$24:$F$24,0))</f>
        <v>1</v>
      </c>
      <c r="L24" s="74">
        <f>INDEX(MASTER!$C$25:$F$42,MATCH($G24,allocation,0),MATCH(L$23,MASTER!$C$24:$F$24,0))</f>
        <v>0</v>
      </c>
      <c r="M24" s="74">
        <f>INDEX(MASTER!$C$25:$F$42,MATCH($G24,allocation,0),MATCH(M$23,MASTER!$C$24:$F$24,0))</f>
        <v>0</v>
      </c>
    </row>
    <row r="25" spans="2:13" s="5" customFormat="1" ht="14.1" customHeight="1">
      <c r="B25" s="64" t="s">
        <v>82</v>
      </c>
      <c r="C25" s="57"/>
      <c r="D25" s="80">
        <v>634.79999999999995</v>
      </c>
      <c r="E25" s="308">
        <v>204.27</v>
      </c>
      <c r="F25" s="66">
        <f t="shared" ref="F25:F26" si="2">PRODUCT(E25,D25)</f>
        <v>129670.59599999999</v>
      </c>
      <c r="G25" s="81" t="s">
        <v>81</v>
      </c>
      <c r="H25" s="40"/>
      <c r="J25" s="74">
        <f>INDEX(MASTER!$C$25:$F$42,MATCH($G25,allocation,0),MATCH(J$23,MASTER!$C$24:$F$24,0))</f>
        <v>0</v>
      </c>
      <c r="K25" s="74">
        <f>INDEX(MASTER!$C$25:$F$42,MATCH($G25,allocation,0),MATCH(K$23,MASTER!$C$24:$F$24,0))</f>
        <v>1</v>
      </c>
      <c r="L25" s="74">
        <f>INDEX(MASTER!$C$25:$F$42,MATCH($G25,allocation,0),MATCH(L$23,MASTER!$C$24:$F$24,0))</f>
        <v>0</v>
      </c>
      <c r="M25" s="74">
        <f>INDEX(MASTER!$C$25:$F$42,MATCH($G25,allocation,0),MATCH(M$23,MASTER!$C$24:$F$24,0))</f>
        <v>0</v>
      </c>
    </row>
    <row r="26" spans="2:13" s="5" customFormat="1" ht="14.1" customHeight="1">
      <c r="B26" s="64" t="s">
        <v>83</v>
      </c>
      <c r="C26" s="57"/>
      <c r="D26" s="80">
        <v>610.43999999999994</v>
      </c>
      <c r="E26" s="308">
        <v>299.33999999999997</v>
      </c>
      <c r="F26" s="66">
        <f t="shared" si="2"/>
        <v>182729.10959999997</v>
      </c>
      <c r="G26" s="81" t="s">
        <v>81</v>
      </c>
      <c r="H26" s="40"/>
      <c r="J26" s="74">
        <f>INDEX(MASTER!$C$25:$F$42,MATCH($G26,allocation,0),MATCH(J$23,MASTER!$C$24:$F$24,0))</f>
        <v>0</v>
      </c>
      <c r="K26" s="74">
        <f>INDEX(MASTER!$C$25:$F$42,MATCH($G26,allocation,0),MATCH(K$23,MASTER!$C$24:$F$24,0))</f>
        <v>1</v>
      </c>
      <c r="L26" s="74">
        <f>INDEX(MASTER!$C$25:$F$42,MATCH($G26,allocation,0),MATCH(L$23,MASTER!$C$24:$F$24,0))</f>
        <v>0</v>
      </c>
      <c r="M26" s="74">
        <f>INDEX(MASTER!$C$25:$F$42,MATCH($G26,allocation,0),MATCH(M$23,MASTER!$C$24:$F$24,0))</f>
        <v>0</v>
      </c>
    </row>
    <row r="27" spans="2:13" s="5" customFormat="1" ht="14.1" customHeight="1">
      <c r="B27" s="64" t="s">
        <v>84</v>
      </c>
      <c r="C27" s="57"/>
      <c r="D27" s="80"/>
      <c r="E27" s="66"/>
      <c r="F27" s="66">
        <v>17851</v>
      </c>
      <c r="G27" s="81" t="s">
        <v>81</v>
      </c>
      <c r="H27" s="40"/>
      <c r="J27" s="74">
        <f>INDEX(MASTER!$C$25:$F$42,MATCH($G27,allocation,0),MATCH(J$23,MASTER!$C$24:$F$24,0))</f>
        <v>0</v>
      </c>
      <c r="K27" s="74">
        <f>INDEX(MASTER!$C$25:$F$42,MATCH($G27,allocation,0),MATCH(K$23,MASTER!$C$24:$F$24,0))</f>
        <v>1</v>
      </c>
      <c r="L27" s="74">
        <f>INDEX(MASTER!$C$25:$F$42,MATCH($G27,allocation,0),MATCH(L$23,MASTER!$C$24:$F$24,0))</f>
        <v>0</v>
      </c>
      <c r="M27" s="74">
        <f>INDEX(MASTER!$C$25:$F$42,MATCH($G27,allocation,0),MATCH(M$23,MASTER!$C$24:$F$24,0))</f>
        <v>0</v>
      </c>
    </row>
    <row r="28" spans="2:13" s="5" customFormat="1" ht="14.1" customHeight="1">
      <c r="B28" s="58" t="s">
        <v>85</v>
      </c>
      <c r="C28" s="57"/>
      <c r="D28" s="80"/>
      <c r="E28" s="66"/>
      <c r="F28" s="66">
        <v>0</v>
      </c>
      <c r="G28" s="81" t="s">
        <v>81</v>
      </c>
      <c r="H28" s="40"/>
      <c r="J28" s="74">
        <f>INDEX(MASTER!$C$25:$F$42,MATCH($G28,allocation,0),MATCH(J$23,MASTER!$C$24:$F$24,0))</f>
        <v>0</v>
      </c>
      <c r="K28" s="74">
        <f>INDEX(MASTER!$C$25:$F$42,MATCH($G28,allocation,0),MATCH(K$23,MASTER!$C$24:$F$24,0))</f>
        <v>1</v>
      </c>
      <c r="L28" s="74">
        <f>INDEX(MASTER!$C$25:$F$42,MATCH($G28,allocation,0),MATCH(L$23,MASTER!$C$24:$F$24,0))</f>
        <v>0</v>
      </c>
      <c r="M28" s="74">
        <f>INDEX(MASTER!$C$25:$F$42,MATCH($G28,allocation,0),MATCH(M$23,MASTER!$C$24:$F$24,0))</f>
        <v>0</v>
      </c>
    </row>
    <row r="29" spans="2:13" s="5" customFormat="1" ht="14.1" customHeight="1" thickBot="1">
      <c r="B29" s="49" t="s">
        <v>10</v>
      </c>
      <c r="C29" s="49"/>
      <c r="D29" s="49"/>
      <c r="E29" s="49"/>
      <c r="F29" s="50">
        <f>SUM(F24:F28)</f>
        <v>930207.00280000002</v>
      </c>
      <c r="G29" s="49"/>
      <c r="H29" s="40"/>
    </row>
    <row r="30" spans="2:13" s="5" customFormat="1" ht="14.1" customHeight="1" thickTop="1">
      <c r="B30" s="40"/>
      <c r="C30" s="41"/>
      <c r="G30" s="40"/>
      <c r="H30" s="40"/>
    </row>
    <row r="31" spans="2:13" s="5" customFormat="1" ht="14.1" customHeight="1">
      <c r="B31" s="41" t="s">
        <v>11</v>
      </c>
      <c r="C31" s="35">
        <f>ROUNDUP($F$29,-$B$32)</f>
        <v>940000</v>
      </c>
      <c r="F31" s="40"/>
      <c r="G31" s="40"/>
      <c r="H31" s="40"/>
    </row>
    <row r="32" spans="2:13" s="5" customFormat="1" ht="14.1" customHeight="1">
      <c r="B32" s="51">
        <v>4</v>
      </c>
      <c r="C32" s="41"/>
      <c r="D32" s="40"/>
      <c r="E32" s="40"/>
      <c r="F32" s="40"/>
      <c r="G32" s="40"/>
      <c r="H32" s="40"/>
    </row>
    <row r="33" spans="2:8" s="5" customFormat="1" ht="14.1" customHeight="1">
      <c r="B33" s="40"/>
      <c r="C33" s="41"/>
      <c r="D33" s="40"/>
      <c r="E33" s="40"/>
      <c r="F33" s="40"/>
      <c r="G33" s="40"/>
      <c r="H33" s="40"/>
    </row>
    <row r="34" spans="2:8" s="5" customFormat="1" ht="14.1" customHeight="1">
      <c r="B34" s="40"/>
      <c r="C34" s="41"/>
      <c r="D34" s="40"/>
      <c r="E34" s="53" t="s">
        <v>12</v>
      </c>
      <c r="F34" s="54" t="s">
        <v>13</v>
      </c>
      <c r="G34" s="54" t="s">
        <v>14</v>
      </c>
      <c r="H34" s="55" t="s">
        <v>15</v>
      </c>
    </row>
    <row r="35" spans="2:8" s="5" customFormat="1" ht="14.1" customHeight="1">
      <c r="B35" s="36"/>
      <c r="C35" s="36"/>
      <c r="D35" s="36"/>
      <c r="E35" s="53" t="str">
        <f>"FY "&amp;MASTER!$B$4-1&amp;" - "&amp;MASTER!$B$4</f>
        <v>FY 2020 - 2021</v>
      </c>
      <c r="F35" s="56">
        <f>MASTER!$B$6</f>
        <v>44255</v>
      </c>
      <c r="G35" s="54" t="str">
        <f>"June "&amp;MASTER!$B$4</f>
        <v>June 2021</v>
      </c>
      <c r="H35" s="55" t="str">
        <f>"FY "&amp;MASTER!$B$4&amp;" - "&amp;MASTER!$B$5</f>
        <v>FY 2021 - 2022</v>
      </c>
    </row>
    <row r="36" spans="2:8" s="5" customFormat="1" ht="14.1" customHeight="1">
      <c r="B36" s="57"/>
      <c r="C36" s="57"/>
      <c r="D36" s="58"/>
      <c r="E36" s="59"/>
      <c r="F36" s="60"/>
      <c r="G36" s="60"/>
      <c r="H36" s="58"/>
    </row>
    <row r="37" spans="2:8" s="5" customFormat="1" ht="14.1" customHeight="1">
      <c r="B37" s="40" t="str">
        <f>$D$5</f>
        <v>Wastewater Transportation</v>
      </c>
      <c r="C37" s="41"/>
      <c r="D37" s="58"/>
      <c r="E37" s="61">
        <v>980000</v>
      </c>
      <c r="F37" s="62">
        <v>697660</v>
      </c>
      <c r="G37" s="62">
        <v>940208</v>
      </c>
      <c r="H37" s="63">
        <f>C31</f>
        <v>940000</v>
      </c>
    </row>
    <row r="38" spans="2:8" s="5" customFormat="1" ht="14.1" customHeight="1">
      <c r="B38" s="40"/>
      <c r="C38" s="41"/>
      <c r="D38" s="58"/>
      <c r="E38" s="59"/>
      <c r="F38" s="59"/>
      <c r="G38" s="58"/>
      <c r="H38" s="82"/>
    </row>
    <row r="39" spans="2:8" s="5" customFormat="1" ht="14.1" customHeight="1">
      <c r="B39" s="2"/>
      <c r="C39" s="1"/>
    </row>
    <row r="40" spans="2:8" s="5" customFormat="1" ht="14.1" customHeight="1">
      <c r="B40" s="2"/>
      <c r="C40" s="1"/>
    </row>
    <row r="41" spans="2:8" s="5" customFormat="1" ht="14.1" customHeight="1">
      <c r="B41" s="36" t="s">
        <v>39</v>
      </c>
      <c r="C41" s="36"/>
      <c r="D41" s="55" t="s">
        <v>40</v>
      </c>
      <c r="E41" s="55" t="s">
        <v>41</v>
      </c>
    </row>
    <row r="42" spans="2:8" s="5" customFormat="1" ht="14.1" customHeight="1">
      <c r="B42" s="75" t="s">
        <v>32</v>
      </c>
      <c r="C42" s="84">
        <f>E42/E46</f>
        <v>0</v>
      </c>
      <c r="D42" s="78">
        <f>SUMPRODUCT($F$24:$F$28,$J$24:$J$28)</f>
        <v>0</v>
      </c>
      <c r="E42" s="78">
        <f>$D42+($C$31-SUM($D$42:$D$45))*($D42/$D$46)</f>
        <v>0</v>
      </c>
    </row>
    <row r="43" spans="2:8" s="5" customFormat="1" ht="14.1" customHeight="1">
      <c r="B43" s="75" t="s">
        <v>33</v>
      </c>
      <c r="C43" s="84">
        <f>E43/E46</f>
        <v>1</v>
      </c>
      <c r="D43" s="78">
        <f>SUMPRODUCT($F$24:$F$28,$K$24:$K$28)</f>
        <v>930207.00280000002</v>
      </c>
      <c r="E43" s="78">
        <f t="shared" ref="E43:E45" si="3">$D43+($C$31-SUM($D$42:$D$45))*($D43/$D$46)</f>
        <v>940000</v>
      </c>
    </row>
    <row r="44" spans="2:8" s="5" customFormat="1" ht="14.1" customHeight="1">
      <c r="B44" s="75" t="s">
        <v>34</v>
      </c>
      <c r="C44" s="84">
        <f>E44/E46</f>
        <v>0</v>
      </c>
      <c r="D44" s="78">
        <f>SUMPRODUCT($F$24:$F$28,$L$24:$L$28)</f>
        <v>0</v>
      </c>
      <c r="E44" s="78">
        <f t="shared" si="3"/>
        <v>0</v>
      </c>
    </row>
    <row r="45" spans="2:8" s="5" customFormat="1" ht="14.1" customHeight="1">
      <c r="B45" s="75" t="s">
        <v>35</v>
      </c>
      <c r="C45" s="84">
        <f>E45/E46</f>
        <v>0</v>
      </c>
      <c r="D45" s="78">
        <f>SUMPRODUCT($F$24:$F$28,$M$24:$M$28)</f>
        <v>0</v>
      </c>
      <c r="E45" s="78">
        <f t="shared" si="3"/>
        <v>0</v>
      </c>
    </row>
    <row r="46" spans="2:8" s="5" customFormat="1" ht="12.75" customHeight="1">
      <c r="B46" s="77" t="s">
        <v>10</v>
      </c>
      <c r="C46" s="85">
        <f>SUM(C42:C45)</f>
        <v>1</v>
      </c>
      <c r="D46" s="79">
        <f>SUM(D42:D45)</f>
        <v>930207.00280000002</v>
      </c>
      <c r="E46" s="79">
        <f>SUM(E42:E45)</f>
        <v>940000</v>
      </c>
    </row>
    <row r="47" spans="2:8" s="5" customFormat="1" ht="12.75" customHeight="1">
      <c r="B47" s="2"/>
      <c r="C47" s="2"/>
      <c r="D47" s="2"/>
      <c r="E47" s="76"/>
    </row>
    <row r="48" spans="2:8" s="5" customFormat="1" ht="12.75" customHeight="1">
      <c r="E48" s="20"/>
      <c r="F48" s="6"/>
    </row>
    <row r="49" spans="4:253" s="5" customFormat="1" ht="12.75" customHeight="1">
      <c r="E49" s="20"/>
    </row>
    <row r="50" spans="4:253" s="5" customFormat="1" ht="12.75" customHeight="1">
      <c r="D50" s="21"/>
      <c r="E50" s="20"/>
    </row>
    <row r="51" spans="4:253" s="5" customFormat="1" ht="12.75" customHeight="1">
      <c r="D51" s="21"/>
      <c r="E51" s="20"/>
    </row>
    <row r="52" spans="4:253" s="5" customFormat="1" ht="12.75" customHeight="1">
      <c r="E52" s="20"/>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row>
    <row r="53" spans="4:253" s="5" customFormat="1" ht="12.75" customHeight="1">
      <c r="D53" s="21"/>
      <c r="E53" s="20"/>
    </row>
    <row r="54" spans="4:253" s="5" customFormat="1" ht="12.75" customHeight="1">
      <c r="E54" s="20"/>
    </row>
    <row r="55" spans="4:253" ht="12.75" customHeight="1">
      <c r="E55" s="20"/>
    </row>
    <row r="56" spans="4:253" ht="12.75" customHeight="1">
      <c r="E56" s="4"/>
    </row>
    <row r="57" spans="4:253">
      <c r="E57" s="3"/>
    </row>
    <row r="69" spans="4:5">
      <c r="D69" s="3"/>
      <c r="E69" s="3"/>
    </row>
  </sheetData>
  <mergeCells count="4">
    <mergeCell ref="E4:F4"/>
    <mergeCell ref="D5:G5"/>
    <mergeCell ref="B18:H19"/>
    <mergeCell ref="B13:H15"/>
  </mergeCells>
  <dataValidations count="2">
    <dataValidation type="list" allowBlank="1" showInputMessage="1" showErrorMessage="1" sqref="G24:G28" xr:uid="{00000000-0002-0000-1000-000000000000}">
      <formula1>allocation</formula1>
    </dataValidation>
    <dataValidation type="list" allowBlank="1" showInputMessage="1" showErrorMessage="1" sqref="E4" xr:uid="{00000000-0002-0000-1000-000001000000}">
      <formula1>enterprise</formula1>
    </dataValidation>
  </dataValidations>
  <pageMargins left="0.7" right="0.7" top="0.75" bottom="0.75" header="0.3" footer="0.3"/>
  <pageSetup scale="9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B2:IS85"/>
  <sheetViews>
    <sheetView workbookViewId="0">
      <selection activeCell="G47" sqref="G47"/>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E53</f>
        <v>97000</v>
      </c>
      <c r="K2" s="120">
        <f t="shared" ref="K2:M2" si="0">F53</f>
        <v>46550</v>
      </c>
      <c r="L2" s="120">
        <f t="shared" si="0"/>
        <v>97000</v>
      </c>
      <c r="M2" s="120">
        <f t="shared" si="0"/>
        <v>109000</v>
      </c>
    </row>
    <row r="3" spans="2:13" ht="14.1" customHeight="1">
      <c r="B3" s="40"/>
      <c r="C3" s="40"/>
      <c r="D3" s="40"/>
      <c r="E3" s="40"/>
      <c r="F3" s="40"/>
      <c r="G3" s="40"/>
      <c r="H3" s="40"/>
      <c r="J3" s="121">
        <f>C58</f>
        <v>0</v>
      </c>
      <c r="K3" s="121"/>
      <c r="L3" s="121"/>
      <c r="M3" s="121"/>
    </row>
    <row r="4" spans="2:13" ht="23.25" customHeight="1">
      <c r="B4" s="40"/>
      <c r="C4" s="40"/>
      <c r="D4" s="40"/>
      <c r="E4" s="316" t="s">
        <v>16</v>
      </c>
      <c r="F4" s="316"/>
      <c r="G4" s="41"/>
      <c r="H4" s="40"/>
      <c r="J4" s="121">
        <f t="shared" ref="J4:J7" si="1">C59</f>
        <v>1</v>
      </c>
    </row>
    <row r="5" spans="2:13" ht="14.1" customHeight="1">
      <c r="B5" s="42"/>
      <c r="C5" s="42"/>
      <c r="D5" s="312" t="str">
        <f>'Operating Budget'!B32</f>
        <v>Sewer Repair &amp; Maintenance</v>
      </c>
      <c r="E5" s="312"/>
      <c r="F5" s="312"/>
      <c r="G5" s="312"/>
      <c r="H5" s="43"/>
      <c r="J5" s="121">
        <f t="shared" si="1"/>
        <v>0</v>
      </c>
    </row>
    <row r="6" spans="2:13" ht="19.5" customHeight="1">
      <c r="B6" s="40"/>
      <c r="C6" s="40"/>
      <c r="D6" s="40"/>
      <c r="E6" s="40"/>
      <c r="H6" s="40"/>
      <c r="J6" s="121">
        <f t="shared" si="1"/>
        <v>0</v>
      </c>
    </row>
    <row r="7" spans="2:13" ht="14.1" hidden="1" customHeight="1">
      <c r="B7" s="40"/>
      <c r="C7" s="40"/>
      <c r="D7" s="40"/>
      <c r="E7" s="40"/>
      <c r="F7" s="44"/>
      <c r="G7" s="44"/>
      <c r="H7" s="40"/>
      <c r="J7" s="121">
        <f t="shared" si="1"/>
        <v>1</v>
      </c>
    </row>
    <row r="8" spans="2:13" ht="14.1" customHeight="1">
      <c r="B8" s="41" t="s">
        <v>2</v>
      </c>
      <c r="C8" s="40">
        <f>'Operating Budget'!C32</f>
        <v>4265</v>
      </c>
      <c r="D8" s="40"/>
      <c r="E8" s="40"/>
      <c r="F8" s="40"/>
      <c r="G8" s="40"/>
      <c r="H8" s="40"/>
    </row>
    <row r="9" spans="2:13" ht="14.1" customHeight="1">
      <c r="B9" s="41" t="s">
        <v>3</v>
      </c>
      <c r="C9" s="40">
        <f>INDEX('Operating Budget'!$A$11:$A$107,MATCH('12'!C8,'Operating Budget'!C11:C107))</f>
        <v>12</v>
      </c>
      <c r="D9" s="40"/>
      <c r="E9" s="40"/>
      <c r="F9" s="40"/>
      <c r="G9" s="40"/>
      <c r="H9" s="40"/>
    </row>
    <row r="10" spans="2:13" ht="14.1" customHeight="1">
      <c r="B10" s="40"/>
      <c r="C10" s="40"/>
      <c r="D10" s="40"/>
      <c r="E10" s="40"/>
      <c r="F10" s="202"/>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86</v>
      </c>
      <c r="C13" s="319"/>
      <c r="D13" s="319"/>
      <c r="E13" s="319"/>
      <c r="F13" s="319"/>
      <c r="G13" s="319"/>
      <c r="H13" s="319"/>
    </row>
    <row r="14" spans="2:13" ht="14.1" hidden="1" customHeight="1">
      <c r="B14" s="319"/>
      <c r="C14" s="319"/>
      <c r="D14" s="319"/>
      <c r="E14" s="319"/>
      <c r="F14" s="319"/>
      <c r="G14" s="319"/>
      <c r="H14" s="319"/>
    </row>
    <row r="15" spans="2:13" ht="14.1" hidden="1" customHeight="1">
      <c r="B15" s="45"/>
      <c r="C15" s="45"/>
      <c r="D15" s="45"/>
      <c r="E15" s="45"/>
      <c r="F15" s="45"/>
      <c r="G15" s="45"/>
      <c r="H15" s="45"/>
    </row>
    <row r="16" spans="2:13" ht="14.1" hidden="1" customHeight="1">
      <c r="B16" s="41" t="str">
        <f>"Changes for FY "&amp;MASTER!$B$4&amp;" - "&amp;MASTER!$B$5&amp;":"</f>
        <v>Changes for FY 2021 - 2022:</v>
      </c>
      <c r="C16" s="45"/>
      <c r="D16" s="45"/>
      <c r="E16" s="45"/>
      <c r="F16" s="45"/>
      <c r="G16" s="45"/>
      <c r="H16" s="45"/>
    </row>
    <row r="17" spans="2:13" ht="14.1" hidden="1" customHeight="1">
      <c r="B17" s="319"/>
      <c r="C17" s="319"/>
      <c r="D17" s="319"/>
      <c r="E17" s="319"/>
      <c r="F17" s="319"/>
      <c r="G17" s="319"/>
      <c r="H17" s="319"/>
    </row>
    <row r="18" spans="2:13" ht="14.1" hidden="1" customHeight="1">
      <c r="B18" s="319"/>
      <c r="C18" s="319"/>
      <c r="D18" s="319"/>
      <c r="E18" s="319"/>
      <c r="F18" s="319"/>
      <c r="G18" s="319"/>
      <c r="H18" s="319"/>
    </row>
    <row r="19" spans="2:13" ht="14.1" customHeight="1">
      <c r="B19" s="310"/>
      <c r="C19" s="310"/>
      <c r="D19" s="310"/>
      <c r="E19" s="310"/>
      <c r="F19" s="310"/>
      <c r="G19" s="310"/>
      <c r="H19" s="310"/>
    </row>
    <row r="20" spans="2:13" ht="14.1" customHeight="1">
      <c r="B20" s="41" t="str">
        <f>"Changes for FY "&amp;MASTER!$B$4&amp;" - "&amp;MASTER!$B$5&amp;":"</f>
        <v>Changes for FY 2021 - 2022:</v>
      </c>
      <c r="C20" s="40"/>
      <c r="D20" s="40"/>
      <c r="E20" s="245"/>
      <c r="F20" s="245"/>
      <c r="G20" s="245"/>
      <c r="H20" s="40"/>
    </row>
    <row r="21" spans="2:13" ht="14.1" customHeight="1">
      <c r="B21" s="319" t="s">
        <v>87</v>
      </c>
      <c r="C21" s="319"/>
      <c r="D21" s="319"/>
      <c r="E21" s="319"/>
      <c r="F21" s="319"/>
      <c r="G21" s="319"/>
      <c r="H21" s="319"/>
    </row>
    <row r="22" spans="2:13" ht="14.1" customHeight="1">
      <c r="B22" s="319"/>
      <c r="C22" s="319"/>
      <c r="D22" s="319"/>
      <c r="E22" s="319"/>
      <c r="F22" s="319"/>
      <c r="G22" s="319"/>
      <c r="H22" s="319"/>
    </row>
    <row r="23" spans="2:13" s="5" customFormat="1" ht="14.1" customHeight="1">
      <c r="B23" s="36" t="s">
        <v>7</v>
      </c>
      <c r="C23" s="37"/>
      <c r="D23" s="37"/>
      <c r="E23" s="37"/>
      <c r="F23" s="37"/>
      <c r="G23" s="37"/>
      <c r="H23" s="38"/>
    </row>
    <row r="24" spans="2:13" s="5" customFormat="1" ht="14.1" customHeight="1">
      <c r="B24" s="40"/>
      <c r="C24" s="41"/>
      <c r="D24" s="40"/>
      <c r="E24" s="40"/>
      <c r="F24" s="40"/>
      <c r="G24" s="40"/>
      <c r="H24" s="40"/>
    </row>
    <row r="25" spans="2:13" s="5" customFormat="1" ht="14.1" customHeight="1">
      <c r="B25" s="67" t="str">
        <f>$D$5</f>
        <v>Sewer Repair &amp; Maintenance</v>
      </c>
      <c r="C25" s="67"/>
      <c r="D25" s="68"/>
      <c r="E25" s="68"/>
      <c r="F25" s="68" t="s">
        <v>10</v>
      </c>
      <c r="G25" s="69" t="s">
        <v>31</v>
      </c>
      <c r="H25" s="40"/>
      <c r="J25" s="73" t="s">
        <v>32</v>
      </c>
      <c r="K25" s="73" t="s">
        <v>33</v>
      </c>
      <c r="L25" s="73" t="s">
        <v>34</v>
      </c>
      <c r="M25" s="73" t="s">
        <v>35</v>
      </c>
    </row>
    <row r="26" spans="2:13" s="5" customFormat="1" ht="14.1" customHeight="1">
      <c r="B26" s="64" t="s">
        <v>88</v>
      </c>
      <c r="C26" s="57"/>
      <c r="D26" s="80"/>
      <c r="E26" s="66"/>
      <c r="F26" s="66">
        <v>17020</v>
      </c>
      <c r="G26" s="71" t="s">
        <v>81</v>
      </c>
      <c r="H26" s="40"/>
      <c r="J26" s="74">
        <f>INDEX(MASTER!$C$25:$F$42,MATCH($G26,allocation,0),MATCH(J$25,MASTER!$C$24:$F$24,0))</f>
        <v>0</v>
      </c>
      <c r="K26" s="74">
        <f>INDEX(MASTER!$C$25:$F$42,MATCH($G26,allocation,0),MATCH(K$25,MASTER!$C$24:$F$24,0))</f>
        <v>1</v>
      </c>
      <c r="L26" s="74">
        <f>INDEX(MASTER!$C$25:$F$42,MATCH($G26,allocation,0),MATCH(L$25,MASTER!$C$24:$F$24,0))</f>
        <v>0</v>
      </c>
      <c r="M26" s="74">
        <f>INDEX(MASTER!$C$25:$F$42,MATCH($G26,allocation,0),MATCH(M$25,MASTER!$C$24:$F$24,0))</f>
        <v>0</v>
      </c>
    </row>
    <row r="27" spans="2:13" s="5" customFormat="1" ht="14.1" hidden="1" customHeight="1">
      <c r="B27" s="64" t="s">
        <v>89</v>
      </c>
      <c r="C27" s="57"/>
      <c r="D27" s="80"/>
      <c r="E27" s="66"/>
      <c r="F27" s="66">
        <v>0</v>
      </c>
      <c r="G27" s="81" t="s">
        <v>81</v>
      </c>
      <c r="H27" s="40"/>
      <c r="J27" s="74">
        <f>INDEX(MASTER!$C$25:$F$42,MATCH($G27,allocation,0),MATCH(J$25,MASTER!$C$24:$F$24,0))</f>
        <v>0</v>
      </c>
      <c r="K27" s="74">
        <f>INDEX(MASTER!$C$25:$F$42,MATCH($G27,allocation,0),MATCH(K$25,MASTER!$C$24:$F$24,0))</f>
        <v>1</v>
      </c>
      <c r="L27" s="74">
        <f>INDEX(MASTER!$C$25:$F$42,MATCH($G27,allocation,0),MATCH(L$25,MASTER!$C$24:$F$24,0))</f>
        <v>0</v>
      </c>
      <c r="M27" s="74">
        <f>INDEX(MASTER!$C$25:$F$42,MATCH($G27,allocation,0),MATCH(M$25,MASTER!$C$24:$F$24,0))</f>
        <v>0</v>
      </c>
    </row>
    <row r="28" spans="2:13" s="5" customFormat="1" ht="14.1" customHeight="1">
      <c r="B28" s="64" t="s">
        <v>90</v>
      </c>
      <c r="C28" s="57"/>
      <c r="D28" s="80"/>
      <c r="E28" s="66"/>
      <c r="F28" s="66">
        <v>1100</v>
      </c>
      <c r="G28" s="81" t="s">
        <v>81</v>
      </c>
      <c r="H28" s="40"/>
      <c r="J28" s="74">
        <f>INDEX(MASTER!$C$25:$F$42,MATCH($G28,allocation,0),MATCH(J$25,MASTER!$C$24:$F$24,0))</f>
        <v>0</v>
      </c>
      <c r="K28" s="74">
        <f>INDEX(MASTER!$C$25:$F$42,MATCH($G28,allocation,0),MATCH(K$25,MASTER!$C$24:$F$24,0))</f>
        <v>1</v>
      </c>
      <c r="L28" s="74">
        <f>INDEX(MASTER!$C$25:$F$42,MATCH($G28,allocation,0),MATCH(L$25,MASTER!$C$24:$F$24,0))</f>
        <v>0</v>
      </c>
      <c r="M28" s="74">
        <f>INDEX(MASTER!$C$25:$F$42,MATCH($G28,allocation,0),MATCH(M$25,MASTER!$C$24:$F$24,0))</f>
        <v>0</v>
      </c>
    </row>
    <row r="29" spans="2:13" s="5" customFormat="1" ht="14.1" customHeight="1">
      <c r="B29" s="64" t="s">
        <v>91</v>
      </c>
      <c r="C29" s="57"/>
      <c r="D29" s="80"/>
      <c r="E29" s="66"/>
      <c r="F29" s="66">
        <v>1200</v>
      </c>
      <c r="G29" s="81" t="s">
        <v>81</v>
      </c>
      <c r="H29" s="40"/>
      <c r="J29" s="74">
        <f>INDEX(MASTER!$C$25:$F$42,MATCH($G29,allocation,0),MATCH(J$25,MASTER!$C$24:$F$24,0))</f>
        <v>0</v>
      </c>
      <c r="K29" s="74">
        <f>INDEX(MASTER!$C$25:$F$42,MATCH($G29,allocation,0),MATCH(K$25,MASTER!$C$24:$F$24,0))</f>
        <v>1</v>
      </c>
      <c r="L29" s="74">
        <f>INDEX(MASTER!$C$25:$F$42,MATCH($G29,allocation,0),MATCH(L$25,MASTER!$C$24:$F$24,0))</f>
        <v>0</v>
      </c>
      <c r="M29" s="74">
        <f>INDEX(MASTER!$C$25:$F$42,MATCH($G29,allocation,0),MATCH(M$25,MASTER!$C$24:$F$24,0))</f>
        <v>0</v>
      </c>
    </row>
    <row r="30" spans="2:13" s="5" customFormat="1" ht="14.1" customHeight="1">
      <c r="B30" s="64" t="s">
        <v>92</v>
      </c>
      <c r="C30" s="57"/>
      <c r="D30" s="80"/>
      <c r="E30" s="66"/>
      <c r="F30" s="66">
        <v>1500</v>
      </c>
      <c r="G30" s="81" t="s">
        <v>81</v>
      </c>
      <c r="H30" s="40"/>
      <c r="J30" s="74">
        <f>INDEX(MASTER!$C$25:$F$42,MATCH($G30,allocation,0),MATCH(J$25,MASTER!$C$24:$F$24,0))</f>
        <v>0</v>
      </c>
      <c r="K30" s="74">
        <f>INDEX(MASTER!$C$25:$F$42,MATCH($G30,allocation,0),MATCH(K$25,MASTER!$C$24:$F$24,0))</f>
        <v>1</v>
      </c>
      <c r="L30" s="74">
        <f>INDEX(MASTER!$C$25:$F$42,MATCH($G30,allocation,0),MATCH(L$25,MASTER!$C$24:$F$24,0))</f>
        <v>0</v>
      </c>
      <c r="M30" s="74">
        <f>INDEX(MASTER!$C$25:$F$42,MATCH($G30,allocation,0),MATCH(M$25,MASTER!$C$24:$F$24,0))</f>
        <v>0</v>
      </c>
    </row>
    <row r="31" spans="2:13" s="5" customFormat="1" ht="14.1" customHeight="1">
      <c r="B31" s="64" t="s">
        <v>93</v>
      </c>
      <c r="C31" s="57"/>
      <c r="D31" s="80"/>
      <c r="E31" s="66"/>
      <c r="F31" s="66">
        <v>1000</v>
      </c>
      <c r="G31" s="81" t="s">
        <v>81</v>
      </c>
      <c r="H31" s="40"/>
      <c r="J31" s="74">
        <f>INDEX(MASTER!$C$25:$F$42,MATCH($G31,allocation,0),MATCH(J$25,MASTER!$C$24:$F$24,0))</f>
        <v>0</v>
      </c>
      <c r="K31" s="74">
        <f>INDEX(MASTER!$C$25:$F$42,MATCH($G31,allocation,0),MATCH(K$25,MASTER!$C$24:$F$24,0))</f>
        <v>1</v>
      </c>
      <c r="L31" s="74">
        <f>INDEX(MASTER!$C$25:$F$42,MATCH($G31,allocation,0),MATCH(L$25,MASTER!$C$24:$F$24,0))</f>
        <v>0</v>
      </c>
      <c r="M31" s="74">
        <f>INDEX(MASTER!$C$25:$F$42,MATCH($G31,allocation,0),MATCH(M$25,MASTER!$C$24:$F$24,0))</f>
        <v>0</v>
      </c>
    </row>
    <row r="32" spans="2:13" s="5" customFormat="1" ht="14.1" hidden="1" customHeight="1">
      <c r="B32" s="64" t="s">
        <v>94</v>
      </c>
      <c r="C32" s="57"/>
      <c r="D32" s="80"/>
      <c r="E32" s="66"/>
      <c r="F32" s="66">
        <v>0</v>
      </c>
      <c r="G32" s="81" t="s">
        <v>81</v>
      </c>
      <c r="H32" s="40"/>
      <c r="J32" s="74">
        <f>INDEX(MASTER!$C$25:$F$42,MATCH($G32,allocation,0),MATCH(J$25,MASTER!$C$24:$F$24,0))</f>
        <v>0</v>
      </c>
      <c r="K32" s="74">
        <f>INDEX(MASTER!$C$25:$F$42,MATCH($G32,allocation,0),MATCH(K$25,MASTER!$C$24:$F$24,0))</f>
        <v>1</v>
      </c>
      <c r="L32" s="74">
        <f>INDEX(MASTER!$C$25:$F$42,MATCH($G32,allocation,0),MATCH(L$25,MASTER!$C$24:$F$24,0))</f>
        <v>0</v>
      </c>
      <c r="M32" s="74">
        <f>INDEX(MASTER!$C$25:$F$42,MATCH($G32,allocation,0),MATCH(M$25,MASTER!$C$24:$F$24,0))</f>
        <v>0</v>
      </c>
    </row>
    <row r="33" spans="2:13" s="5" customFormat="1" ht="14.1" hidden="1" customHeight="1">
      <c r="B33" s="64" t="s">
        <v>95</v>
      </c>
      <c r="C33" s="57"/>
      <c r="D33" s="80"/>
      <c r="E33" s="66"/>
      <c r="F33" s="66">
        <v>0</v>
      </c>
      <c r="G33" s="81" t="s">
        <v>81</v>
      </c>
      <c r="H33" s="40"/>
      <c r="J33" s="74">
        <f>INDEX(MASTER!$C$25:$F$42,MATCH($G33,allocation,0),MATCH(J$25,MASTER!$C$24:$F$24,0))</f>
        <v>0</v>
      </c>
      <c r="K33" s="74">
        <f>INDEX(MASTER!$C$25:$F$42,MATCH($G33,allocation,0),MATCH(K$25,MASTER!$C$24:$F$24,0))</f>
        <v>1</v>
      </c>
      <c r="L33" s="74">
        <f>INDEX(MASTER!$C$25:$F$42,MATCH($G33,allocation,0),MATCH(L$25,MASTER!$C$24:$F$24,0))</f>
        <v>0</v>
      </c>
      <c r="M33" s="74">
        <f>INDEX(MASTER!$C$25:$F$42,MATCH($G33,allocation,0),MATCH(M$25,MASTER!$C$24:$F$24,0))</f>
        <v>0</v>
      </c>
    </row>
    <row r="34" spans="2:13" s="5" customFormat="1" ht="14.1" hidden="1" customHeight="1">
      <c r="B34" s="64" t="s">
        <v>96</v>
      </c>
      <c r="C34" s="57"/>
      <c r="D34" s="80"/>
      <c r="E34" s="66"/>
      <c r="F34" s="66">
        <v>0</v>
      </c>
      <c r="G34" s="81" t="s">
        <v>81</v>
      </c>
      <c r="H34" s="40"/>
      <c r="J34" s="74">
        <f>INDEX(MASTER!$C$25:$F$42,MATCH($G34,allocation,0),MATCH(J$25,MASTER!$C$24:$F$24,0))</f>
        <v>0</v>
      </c>
      <c r="K34" s="74">
        <f>INDEX(MASTER!$C$25:$F$42,MATCH($G34,allocation,0),MATCH(K$25,MASTER!$C$24:$F$24,0))</f>
        <v>1</v>
      </c>
      <c r="L34" s="74">
        <f>INDEX(MASTER!$C$25:$F$42,MATCH($G34,allocation,0),MATCH(L$25,MASTER!$C$24:$F$24,0))</f>
        <v>0</v>
      </c>
      <c r="M34" s="74">
        <f>INDEX(MASTER!$C$25:$F$42,MATCH($G34,allocation,0),MATCH(M$25,MASTER!$C$24:$F$24,0))</f>
        <v>0</v>
      </c>
    </row>
    <row r="35" spans="2:13" s="5" customFormat="1" ht="14.1" customHeight="1">
      <c r="B35" s="64" t="s">
        <v>97</v>
      </c>
      <c r="C35" s="57"/>
      <c r="D35" s="80"/>
      <c r="E35" s="66"/>
      <c r="F35" s="66">
        <v>4200</v>
      </c>
      <c r="G35" s="81" t="s">
        <v>81</v>
      </c>
      <c r="H35" s="40"/>
      <c r="J35" s="74">
        <f>INDEX(MASTER!$C$25:$F$42,MATCH($G35,allocation,0),MATCH(J$25,MASTER!$C$24:$F$24,0))</f>
        <v>0</v>
      </c>
      <c r="K35" s="74">
        <f>INDEX(MASTER!$C$25:$F$42,MATCH($G35,allocation,0),MATCH(K$25,MASTER!$C$24:$F$24,0))</f>
        <v>1</v>
      </c>
      <c r="L35" s="74">
        <f>INDEX(MASTER!$C$25:$F$42,MATCH($G35,allocation,0),MATCH(L$25,MASTER!$C$24:$F$24,0))</f>
        <v>0</v>
      </c>
      <c r="M35" s="74">
        <f>INDEX(MASTER!$C$25:$F$42,MATCH($G35,allocation,0),MATCH(M$25,MASTER!$C$24:$F$24,0))</f>
        <v>0</v>
      </c>
    </row>
    <row r="36" spans="2:13" s="5" customFormat="1" ht="14.1" customHeight="1">
      <c r="B36" s="64" t="s">
        <v>93</v>
      </c>
      <c r="C36" s="57"/>
      <c r="D36" s="80"/>
      <c r="E36" s="66"/>
      <c r="F36" s="66">
        <v>500</v>
      </c>
      <c r="G36" s="81" t="s">
        <v>81</v>
      </c>
      <c r="H36" s="40"/>
      <c r="J36" s="74">
        <f>INDEX(MASTER!$C$25:$F$42,MATCH($G36,allocation,0),MATCH(J$25,MASTER!$C$24:$F$24,0))</f>
        <v>0</v>
      </c>
      <c r="K36" s="74">
        <f>INDEX(MASTER!$C$25:$F$42,MATCH($G36,allocation,0),MATCH(K$25,MASTER!$C$24:$F$24,0))</f>
        <v>1</v>
      </c>
      <c r="L36" s="74">
        <f>INDEX(MASTER!$C$25:$F$42,MATCH($G36,allocation,0),MATCH(L$25,MASTER!$C$24:$F$24,0))</f>
        <v>0</v>
      </c>
      <c r="M36" s="74">
        <f>INDEX(MASTER!$C$25:$F$42,MATCH($G36,allocation,0),MATCH(M$25,MASTER!$C$24:$F$24,0))</f>
        <v>0</v>
      </c>
    </row>
    <row r="37" spans="2:13" s="5" customFormat="1" ht="14.1" customHeight="1">
      <c r="B37" s="64" t="s">
        <v>98</v>
      </c>
      <c r="C37" s="57"/>
      <c r="D37" s="80"/>
      <c r="E37" s="66"/>
      <c r="F37" s="66">
        <v>3600</v>
      </c>
      <c r="G37" s="81" t="s">
        <v>81</v>
      </c>
      <c r="H37" s="40"/>
      <c r="J37" s="74">
        <f>INDEX(MASTER!$C$25:$F$42,MATCH($G37,allocation,0),MATCH(J$25,MASTER!$C$24:$F$24,0))</f>
        <v>0</v>
      </c>
      <c r="K37" s="74">
        <f>INDEX(MASTER!$C$25:$F$42,MATCH($G37,allocation,0),MATCH(K$25,MASTER!$C$24:$F$24,0))</f>
        <v>1</v>
      </c>
      <c r="L37" s="74">
        <f>INDEX(MASTER!$C$25:$F$42,MATCH($G37,allocation,0),MATCH(L$25,MASTER!$C$24:$F$24,0))</f>
        <v>0</v>
      </c>
      <c r="M37" s="74">
        <f>INDEX(MASTER!$C$25:$F$42,MATCH($G37,allocation,0),MATCH(M$25,MASTER!$C$24:$F$24,0))</f>
        <v>0</v>
      </c>
    </row>
    <row r="38" spans="2:13" s="5" customFormat="1" ht="14.1" hidden="1" customHeight="1">
      <c r="B38" s="64"/>
      <c r="C38" s="57"/>
      <c r="D38" s="80"/>
      <c r="E38" s="66"/>
      <c r="F38" s="66"/>
      <c r="G38" s="81" t="s">
        <v>81</v>
      </c>
      <c r="H38" s="40"/>
      <c r="J38" s="74">
        <f>INDEX(MASTER!$C$25:$F$42,MATCH($G38,allocation,0),MATCH(J$25,MASTER!$C$24:$F$24,0))</f>
        <v>0</v>
      </c>
      <c r="K38" s="74">
        <f>INDEX(MASTER!$C$25:$F$42,MATCH($G38,allocation,0),MATCH(K$25,MASTER!$C$24:$F$24,0))</f>
        <v>1</v>
      </c>
      <c r="L38" s="74">
        <f>INDEX(MASTER!$C$25:$F$42,MATCH($G38,allocation,0),MATCH(L$25,MASTER!$C$24:$F$24,0))</f>
        <v>0</v>
      </c>
      <c r="M38" s="74">
        <f>INDEX(MASTER!$C$25:$F$42,MATCH($G38,allocation,0),MATCH(M$25,MASTER!$C$24:$F$24,0))</f>
        <v>0</v>
      </c>
    </row>
    <row r="39" spans="2:13" s="5" customFormat="1" ht="14.1" customHeight="1">
      <c r="B39" s="64" t="s">
        <v>99</v>
      </c>
      <c r="C39" s="57"/>
      <c r="D39" s="80"/>
      <c r="E39" s="66"/>
      <c r="F39" s="66">
        <v>2000</v>
      </c>
      <c r="G39" s="81" t="s">
        <v>81</v>
      </c>
      <c r="H39" s="40"/>
      <c r="J39" s="74">
        <f>INDEX(MASTER!$C$25:$F$42,MATCH($G39,allocation,0),MATCH(J$25,MASTER!$C$24:$F$24,0))</f>
        <v>0</v>
      </c>
      <c r="K39" s="74">
        <f>INDEX(MASTER!$C$25:$F$42,MATCH($G39,allocation,0),MATCH(K$25,MASTER!$C$24:$F$24,0))</f>
        <v>1</v>
      </c>
      <c r="L39" s="74">
        <f>INDEX(MASTER!$C$25:$F$42,MATCH($G39,allocation,0),MATCH(L$25,MASTER!$C$24:$F$24,0))</f>
        <v>0</v>
      </c>
      <c r="M39" s="74">
        <f>INDEX(MASTER!$C$25:$F$42,MATCH($G39,allocation,0),MATCH(M$25,MASTER!$C$24:$F$24,0))</f>
        <v>0</v>
      </c>
    </row>
    <row r="40" spans="2:13" s="5" customFormat="1" ht="14.1" customHeight="1">
      <c r="B40" s="64" t="s">
        <v>100</v>
      </c>
      <c r="C40" s="57"/>
      <c r="D40" s="80"/>
      <c r="E40" s="66"/>
      <c r="F40" s="66">
        <v>600</v>
      </c>
      <c r="G40" s="81" t="s">
        <v>81</v>
      </c>
      <c r="H40" s="40"/>
      <c r="J40" s="74">
        <f>INDEX(MASTER!$C$25:$F$42,MATCH($G40,allocation,0),MATCH(J$25,MASTER!$C$24:$F$24,0))</f>
        <v>0</v>
      </c>
      <c r="K40" s="74">
        <f>INDEX(MASTER!$C$25:$F$42,MATCH($G40,allocation,0),MATCH(K$25,MASTER!$C$24:$F$24,0))</f>
        <v>1</v>
      </c>
      <c r="L40" s="74">
        <f>INDEX(MASTER!$C$25:$F$42,MATCH($G40,allocation,0),MATCH(L$25,MASTER!$C$24:$F$24,0))</f>
        <v>0</v>
      </c>
      <c r="M40" s="74">
        <f>INDEX(MASTER!$C$25:$F$42,MATCH($G40,allocation,0),MATCH(M$25,MASTER!$C$24:$F$24,0))</f>
        <v>0</v>
      </c>
    </row>
    <row r="41" spans="2:13" s="5" customFormat="1" ht="14.1" customHeight="1">
      <c r="B41" s="64" t="s">
        <v>101</v>
      </c>
      <c r="C41" s="57"/>
      <c r="D41" s="80"/>
      <c r="E41" s="66"/>
      <c r="F41" s="66">
        <v>5000</v>
      </c>
      <c r="G41" s="81" t="s">
        <v>81</v>
      </c>
      <c r="H41" s="40"/>
      <c r="J41" s="74">
        <f>INDEX(MASTER!$C$25:$F$42,MATCH($G41,allocation,0),MATCH(J$25,MASTER!$C$24:$F$24,0))</f>
        <v>0</v>
      </c>
      <c r="K41" s="74">
        <f>INDEX(MASTER!$C$25:$F$42,MATCH($G41,allocation,0),MATCH(K$25,MASTER!$C$24:$F$24,0))</f>
        <v>1</v>
      </c>
      <c r="L41" s="74">
        <f>INDEX(MASTER!$C$25:$F$42,MATCH($G41,allocation,0),MATCH(L$25,MASTER!$C$24:$F$24,0))</f>
        <v>0</v>
      </c>
      <c r="M41" s="74">
        <f>INDEX(MASTER!$C$25:$F$42,MATCH($G41,allocation,0),MATCH(M$25,MASTER!$C$24:$F$24,0))</f>
        <v>0</v>
      </c>
    </row>
    <row r="42" spans="2:13" s="5" customFormat="1" ht="14.1" customHeight="1">
      <c r="B42" s="64" t="s">
        <v>102</v>
      </c>
      <c r="C42" s="57"/>
      <c r="D42" s="80"/>
      <c r="E42" s="66"/>
      <c r="F42" s="66">
        <v>10500</v>
      </c>
      <c r="G42" s="81" t="s">
        <v>81</v>
      </c>
      <c r="H42" s="40"/>
      <c r="J42" s="74">
        <f>INDEX(MASTER!$C$25:$F$42,MATCH($G42,allocation,0),MATCH(J$25,MASTER!$C$24:$F$24,0))</f>
        <v>0</v>
      </c>
      <c r="K42" s="74">
        <f>INDEX(MASTER!$C$25:$F$42,MATCH($G42,allocation,0),MATCH(K$25,MASTER!$C$24:$F$24,0))</f>
        <v>1</v>
      </c>
      <c r="L42" s="74">
        <f>INDEX(MASTER!$C$25:$F$42,MATCH($G42,allocation,0),MATCH(L$25,MASTER!$C$24:$F$24,0))</f>
        <v>0</v>
      </c>
      <c r="M42" s="74">
        <f>INDEX(MASTER!$C$25:$F$42,MATCH($G42,allocation,0),MATCH(M$25,MASTER!$C$24:$F$24,0))</f>
        <v>0</v>
      </c>
    </row>
    <row r="43" spans="2:13" s="5" customFormat="1" ht="14.1" customHeight="1">
      <c r="B43" s="64" t="s">
        <v>103</v>
      </c>
      <c r="C43" s="57"/>
      <c r="D43" s="80"/>
      <c r="E43" s="66"/>
      <c r="F43" s="66">
        <v>32000</v>
      </c>
      <c r="G43" s="81" t="s">
        <v>81</v>
      </c>
      <c r="H43" s="40"/>
      <c r="J43" s="74"/>
      <c r="K43" s="74"/>
      <c r="L43" s="74"/>
      <c r="M43" s="74"/>
    </row>
    <row r="44" spans="2:13" s="5" customFormat="1" ht="14.1" customHeight="1">
      <c r="B44" s="64" t="s">
        <v>104</v>
      </c>
      <c r="C44" s="57"/>
      <c r="D44" s="80"/>
      <c r="E44" s="66"/>
      <c r="F44" s="66">
        <v>28000</v>
      </c>
      <c r="G44" s="81" t="s">
        <v>81</v>
      </c>
      <c r="H44" s="40"/>
      <c r="J44" s="74">
        <f>INDEX(MASTER!$C$25:$F$42,MATCH($G44,allocation,0),MATCH(J$25,MASTER!$C$24:$F$24,0))</f>
        <v>0</v>
      </c>
      <c r="K44" s="74">
        <f>INDEX(MASTER!$C$25:$F$42,MATCH($G44,allocation,0),MATCH(K$25,MASTER!$C$24:$F$24,0))</f>
        <v>1</v>
      </c>
      <c r="L44" s="74">
        <f>INDEX(MASTER!$C$25:$F$42,MATCH($G44,allocation,0),MATCH(L$25,MASTER!$C$24:$F$24,0))</f>
        <v>0</v>
      </c>
      <c r="M44" s="74">
        <f>INDEX(MASTER!$C$25:$F$42,MATCH($G44,allocation,0),MATCH(M$25,MASTER!$C$24:$F$24,0))</f>
        <v>0</v>
      </c>
    </row>
    <row r="45" spans="2:13" s="5" customFormat="1" ht="14.1" customHeight="1" thickBot="1">
      <c r="B45" s="49" t="s">
        <v>10</v>
      </c>
      <c r="C45" s="49"/>
      <c r="D45" s="49"/>
      <c r="E45" s="49"/>
      <c r="F45" s="50">
        <f>SUM(F26:F44)</f>
        <v>108220</v>
      </c>
      <c r="G45" s="49"/>
      <c r="H45" s="40"/>
    </row>
    <row r="46" spans="2:13" s="5" customFormat="1" ht="14.1" customHeight="1" thickTop="1">
      <c r="B46" s="40"/>
      <c r="C46" s="41"/>
      <c r="G46" s="40"/>
      <c r="H46" s="40"/>
    </row>
    <row r="47" spans="2:13" s="5" customFormat="1" ht="14.1" customHeight="1">
      <c r="B47" s="41" t="s">
        <v>11</v>
      </c>
      <c r="C47" s="35">
        <f>ROUNDUP($F$45,-$B$48)</f>
        <v>109000</v>
      </c>
      <c r="F47" s="40"/>
      <c r="G47" s="40"/>
      <c r="H47" s="40"/>
    </row>
    <row r="48" spans="2:13" s="5" customFormat="1" ht="14.1" hidden="1" customHeight="1">
      <c r="B48" s="51">
        <v>3</v>
      </c>
      <c r="C48" s="41"/>
      <c r="D48" s="40"/>
      <c r="E48" s="40"/>
      <c r="F48" s="40"/>
      <c r="G48" s="40"/>
      <c r="H48" s="40"/>
    </row>
    <row r="49" spans="2:8" s="5" customFormat="1" ht="14.1" hidden="1" customHeight="1">
      <c r="B49" s="40"/>
      <c r="C49" s="41"/>
      <c r="D49" s="40"/>
      <c r="E49" s="40"/>
      <c r="F49" s="40"/>
      <c r="G49" s="40"/>
      <c r="H49" s="40"/>
    </row>
    <row r="50" spans="2:8" s="5" customFormat="1" ht="14.1" customHeight="1">
      <c r="B50" s="40"/>
      <c r="C50" s="41"/>
      <c r="D50" s="40"/>
      <c r="E50" s="53" t="s">
        <v>12</v>
      </c>
      <c r="F50" s="54" t="s">
        <v>13</v>
      </c>
      <c r="G50" s="54" t="s">
        <v>14</v>
      </c>
      <c r="H50" s="55" t="s">
        <v>15</v>
      </c>
    </row>
    <row r="51" spans="2:8" s="5" customFormat="1" ht="14.1" customHeight="1">
      <c r="B51" s="36"/>
      <c r="C51" s="36"/>
      <c r="D51" s="36"/>
      <c r="E51" s="53" t="str">
        <f>"FY "&amp;MASTER!$B$4-1&amp;" - "&amp;MASTER!$B$4</f>
        <v>FY 2020 - 2021</v>
      </c>
      <c r="F51" s="56">
        <f>MASTER!$B$6</f>
        <v>44255</v>
      </c>
      <c r="G51" s="54" t="str">
        <f>"June "&amp;MASTER!$B$4</f>
        <v>June 2021</v>
      </c>
      <c r="H51" s="55" t="str">
        <f>"FY "&amp;MASTER!$B$4&amp;" - "&amp;MASTER!$B$5</f>
        <v>FY 2021 - 2022</v>
      </c>
    </row>
    <row r="52" spans="2:8" s="5" customFormat="1" ht="14.1" customHeight="1">
      <c r="B52" s="57"/>
      <c r="C52" s="57"/>
      <c r="D52" s="58"/>
      <c r="E52" s="59"/>
      <c r="F52" s="60"/>
      <c r="G52" s="60"/>
      <c r="H52" s="58"/>
    </row>
    <row r="53" spans="2:8" s="5" customFormat="1" ht="14.1" customHeight="1">
      <c r="B53" s="40" t="str">
        <f>$D$5</f>
        <v>Sewer Repair &amp; Maintenance</v>
      </c>
      <c r="C53" s="41"/>
      <c r="D53" s="58"/>
      <c r="E53" s="61">
        <v>97000</v>
      </c>
      <c r="F53" s="62">
        <v>46550</v>
      </c>
      <c r="G53" s="62">
        <v>97000</v>
      </c>
      <c r="H53" s="63">
        <f>C47</f>
        <v>109000</v>
      </c>
    </row>
    <row r="54" spans="2:8" s="5" customFormat="1" ht="14.1" hidden="1" customHeight="1">
      <c r="B54" s="40"/>
      <c r="C54" s="41"/>
      <c r="D54" s="58"/>
      <c r="E54" s="59"/>
      <c r="F54" s="59"/>
      <c r="G54" s="58"/>
      <c r="H54" s="82"/>
    </row>
    <row r="55" spans="2:8" s="5" customFormat="1" ht="14.1" customHeight="1">
      <c r="B55" s="2"/>
      <c r="C55" s="1"/>
    </row>
    <row r="56" spans="2:8" s="5" customFormat="1" ht="14.1" hidden="1" customHeight="1">
      <c r="B56" s="2"/>
      <c r="C56" s="1"/>
    </row>
    <row r="57" spans="2:8" s="5" customFormat="1" ht="14.1" customHeight="1">
      <c r="B57" s="36" t="s">
        <v>39</v>
      </c>
      <c r="C57" s="36"/>
      <c r="D57" s="55" t="s">
        <v>40</v>
      </c>
      <c r="E57" s="55" t="s">
        <v>41</v>
      </c>
    </row>
    <row r="58" spans="2:8" s="5" customFormat="1" ht="14.1" customHeight="1">
      <c r="B58" s="75" t="s">
        <v>32</v>
      </c>
      <c r="C58" s="84">
        <f>E58/E62</f>
        <v>0</v>
      </c>
      <c r="D58" s="78">
        <f>SUMPRODUCT($F$26:$F$44,$J$26:$J$44)</f>
        <v>0</v>
      </c>
      <c r="E58" s="78">
        <f>$D58+($C$47-SUM($D$58:$D$61))*($D58/$D$62)</f>
        <v>0</v>
      </c>
    </row>
    <row r="59" spans="2:8" s="5" customFormat="1" ht="14.1" customHeight="1">
      <c r="B59" s="75" t="s">
        <v>33</v>
      </c>
      <c r="C59" s="84">
        <f>E59/E62</f>
        <v>1</v>
      </c>
      <c r="D59" s="78">
        <f>SUMPRODUCT($F$26:$F$44,$K$26:$K$44)</f>
        <v>76220</v>
      </c>
      <c r="E59" s="78">
        <f t="shared" ref="E59:E61" si="2">$D59+($C$47-SUM($D$58:$D$61))*($D59/$D$62)</f>
        <v>109000</v>
      </c>
    </row>
    <row r="60" spans="2:8" s="5" customFormat="1" ht="14.1" customHeight="1">
      <c r="B60" s="75" t="s">
        <v>34</v>
      </c>
      <c r="C60" s="84">
        <f>E60/E62</f>
        <v>0</v>
      </c>
      <c r="D60" s="78">
        <f>SUMPRODUCT($F$26:$F$44,$L$26:$L$44)</f>
        <v>0</v>
      </c>
      <c r="E60" s="78">
        <f t="shared" si="2"/>
        <v>0</v>
      </c>
    </row>
    <row r="61" spans="2:8" s="5" customFormat="1" ht="14.1" customHeight="1">
      <c r="B61" s="75" t="s">
        <v>35</v>
      </c>
      <c r="C61" s="84">
        <f>E61/E62</f>
        <v>0</v>
      </c>
      <c r="D61" s="78">
        <f>SUMPRODUCT($F$26:$F$44,$M$26:$M$44)</f>
        <v>0</v>
      </c>
      <c r="E61" s="78">
        <f t="shared" si="2"/>
        <v>0</v>
      </c>
    </row>
    <row r="62" spans="2:8" s="5" customFormat="1" ht="12.75" customHeight="1">
      <c r="B62" s="77" t="s">
        <v>10</v>
      </c>
      <c r="C62" s="85">
        <f>SUM(C58:C61)</f>
        <v>1</v>
      </c>
      <c r="D62" s="79">
        <f>SUM(D58:D61)</f>
        <v>76220</v>
      </c>
      <c r="E62" s="79">
        <f>SUM(E58:E61)</f>
        <v>109000</v>
      </c>
    </row>
    <row r="63" spans="2:8" s="5" customFormat="1" ht="12.75" customHeight="1">
      <c r="B63" s="2"/>
      <c r="C63" s="2"/>
      <c r="D63" s="2"/>
      <c r="E63" s="76"/>
    </row>
    <row r="64" spans="2:8" s="5" customFormat="1" ht="12.75" customHeight="1">
      <c r="E64" s="20"/>
      <c r="F64" s="6"/>
    </row>
    <row r="65" spans="4:253" s="5" customFormat="1" ht="12.75" customHeight="1">
      <c r="E65" s="20"/>
    </row>
    <row r="66" spans="4:253" s="5" customFormat="1" ht="12.75" customHeight="1">
      <c r="D66" s="21"/>
      <c r="E66" s="20"/>
    </row>
    <row r="67" spans="4:253" s="5" customFormat="1" ht="12.75" customHeight="1">
      <c r="D67" s="21"/>
      <c r="E67" s="20"/>
    </row>
    <row r="68" spans="4:253" s="5" customFormat="1" ht="12.75" customHeight="1">
      <c r="E68" s="20"/>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69" spans="4:253" s="5" customFormat="1" ht="12.75" customHeight="1">
      <c r="D69" s="21"/>
      <c r="E69" s="20"/>
    </row>
    <row r="70" spans="4:253" s="5" customFormat="1" ht="12.75" customHeight="1">
      <c r="E70" s="20"/>
    </row>
    <row r="71" spans="4:253" ht="12.75" customHeight="1">
      <c r="E71" s="20"/>
    </row>
    <row r="72" spans="4:253" ht="12.75" customHeight="1">
      <c r="E72" s="4"/>
    </row>
    <row r="73" spans="4:253">
      <c r="E73" s="3"/>
    </row>
    <row r="85" spans="4:5">
      <c r="D85" s="3"/>
      <c r="E85" s="3"/>
    </row>
  </sheetData>
  <mergeCells count="5">
    <mergeCell ref="B21:H22"/>
    <mergeCell ref="E4:F4"/>
    <mergeCell ref="D5:G5"/>
    <mergeCell ref="B13:H14"/>
    <mergeCell ref="B17:H18"/>
  </mergeCells>
  <dataValidations count="2">
    <dataValidation type="list" allowBlank="1" showInputMessage="1" showErrorMessage="1" sqref="E4" xr:uid="{00000000-0002-0000-1100-000000000000}">
      <formula1>enterprise</formula1>
    </dataValidation>
    <dataValidation type="list" allowBlank="1" showInputMessage="1" showErrorMessage="1" sqref="G26:G44" xr:uid="{00000000-0002-0000-1100-000001000000}">
      <formula1>allocation</formula1>
    </dataValidation>
  </dataValidations>
  <pageMargins left="0.7" right="0.7" top="0.75" bottom="0.75" header="0.3" footer="0.3"/>
  <pageSetup scale="9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B2:IS70"/>
  <sheetViews>
    <sheetView workbookViewId="0">
      <selection activeCell="B18" sqref="B18:H20"/>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E39</f>
        <v>34000</v>
      </c>
      <c r="K2" s="120">
        <f t="shared" ref="K2:M2" si="0">F39</f>
        <v>23900</v>
      </c>
      <c r="L2" s="120">
        <f t="shared" si="0"/>
        <v>34000</v>
      </c>
      <c r="M2" s="120">
        <f t="shared" si="0"/>
        <v>34000</v>
      </c>
    </row>
    <row r="3" spans="2:13" ht="14.1" customHeight="1">
      <c r="B3" s="40"/>
      <c r="C3" s="40"/>
      <c r="D3" s="40"/>
      <c r="E3" s="40"/>
      <c r="F3" s="40"/>
      <c r="G3" s="40"/>
      <c r="H3" s="40"/>
      <c r="J3" s="121">
        <f>C43</f>
        <v>0</v>
      </c>
      <c r="K3" s="121"/>
      <c r="L3" s="121"/>
      <c r="M3" s="121"/>
    </row>
    <row r="4" spans="2:13" ht="23.25" customHeight="1">
      <c r="B4" s="40"/>
      <c r="C4" s="40"/>
      <c r="D4" s="40"/>
      <c r="E4" s="316" t="s">
        <v>16</v>
      </c>
      <c r="F4" s="316"/>
      <c r="G4" s="41"/>
      <c r="H4" s="40"/>
      <c r="J4" s="121">
        <f t="shared" ref="J4:J7" si="1">C44</f>
        <v>1</v>
      </c>
    </row>
    <row r="5" spans="2:13" ht="14.1" customHeight="1">
      <c r="B5" s="42"/>
      <c r="C5" s="42"/>
      <c r="D5" s="312" t="str">
        <f>'Operating Budget'!B33</f>
        <v>Telemetry</v>
      </c>
      <c r="E5" s="312"/>
      <c r="F5" s="312"/>
      <c r="G5" s="312"/>
      <c r="H5" s="43"/>
      <c r="J5" s="121">
        <f t="shared" si="1"/>
        <v>0</v>
      </c>
    </row>
    <row r="6" spans="2:13" ht="19.5" customHeight="1">
      <c r="B6" s="40"/>
      <c r="C6" s="40"/>
      <c r="D6" s="40"/>
      <c r="E6" s="40"/>
      <c r="H6" s="40"/>
      <c r="J6" s="121">
        <f t="shared" si="1"/>
        <v>0</v>
      </c>
    </row>
    <row r="7" spans="2:13" ht="14.1" hidden="1" customHeight="1">
      <c r="B7" s="40"/>
      <c r="C7" s="40"/>
      <c r="D7" s="40"/>
      <c r="E7" s="40"/>
      <c r="F7" s="44"/>
      <c r="G7" s="44"/>
      <c r="H7" s="40"/>
      <c r="J7" s="121">
        <f t="shared" si="1"/>
        <v>1</v>
      </c>
    </row>
    <row r="8" spans="2:13" ht="14.1" customHeight="1">
      <c r="B8" s="41" t="s">
        <v>2</v>
      </c>
      <c r="C8" s="40">
        <f>'Operating Budget'!C33</f>
        <v>4270</v>
      </c>
      <c r="D8" s="40"/>
      <c r="E8" s="40"/>
      <c r="F8" s="202"/>
      <c r="G8" s="40"/>
      <c r="H8" s="40"/>
    </row>
    <row r="9" spans="2:13" ht="14.1" customHeight="1">
      <c r="B9" s="41" t="s">
        <v>3</v>
      </c>
      <c r="C9" s="40">
        <f>INDEX('Operating Budget'!$A$11:$A$107,MATCH('13'!C8,'Operating Budget'!C11:C107))</f>
        <v>13</v>
      </c>
      <c r="D9" s="40"/>
      <c r="E9" s="40"/>
      <c r="F9" s="40"/>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105</v>
      </c>
      <c r="C13" s="319"/>
      <c r="D13" s="319"/>
      <c r="E13" s="319"/>
      <c r="F13" s="319"/>
      <c r="G13" s="319"/>
      <c r="H13" s="319"/>
    </row>
    <row r="14" spans="2:13" ht="14.1" customHeight="1">
      <c r="B14" s="319"/>
      <c r="C14" s="319"/>
      <c r="D14" s="319"/>
      <c r="E14" s="319"/>
      <c r="F14" s="319"/>
      <c r="G14" s="319"/>
      <c r="H14" s="319"/>
    </row>
    <row r="15" spans="2:13" ht="14.1" hidden="1" customHeight="1">
      <c r="B15" s="319"/>
      <c r="C15" s="319"/>
      <c r="D15" s="319"/>
      <c r="E15" s="319"/>
      <c r="F15" s="319"/>
      <c r="G15" s="319"/>
      <c r="H15" s="319"/>
    </row>
    <row r="16" spans="2:13" ht="14.1" customHeight="1">
      <c r="B16" s="45"/>
      <c r="C16" s="45"/>
      <c r="D16" s="45"/>
      <c r="E16" s="45"/>
      <c r="F16" s="45"/>
      <c r="G16" s="45"/>
      <c r="H16" s="45"/>
    </row>
    <row r="17" spans="2:13" ht="14.1" customHeight="1">
      <c r="B17" s="41" t="str">
        <f>"Changes for FY "&amp;MASTER!$B$4&amp;" - "&amp;MASTER!$B$5&amp;":"</f>
        <v>Changes for FY 2021 - 2022:</v>
      </c>
      <c r="C17" s="45"/>
      <c r="D17" s="45"/>
      <c r="E17" s="45"/>
      <c r="F17" s="45"/>
      <c r="G17" s="45"/>
      <c r="H17" s="45"/>
    </row>
    <row r="18" spans="2:13" ht="14.1" customHeight="1">
      <c r="B18" s="319" t="s">
        <v>43</v>
      </c>
      <c r="C18" s="319"/>
      <c r="D18" s="319"/>
      <c r="E18" s="319"/>
      <c r="F18" s="319"/>
      <c r="G18" s="319"/>
      <c r="H18" s="319"/>
    </row>
    <row r="19" spans="2:13" ht="14.1" customHeight="1">
      <c r="B19" s="319"/>
      <c r="C19" s="319"/>
      <c r="D19" s="319"/>
      <c r="E19" s="319"/>
      <c r="F19" s="319"/>
      <c r="G19" s="319"/>
      <c r="H19" s="319"/>
    </row>
    <row r="20" spans="2:13" ht="14.1" customHeight="1">
      <c r="B20" s="319"/>
      <c r="C20" s="319"/>
      <c r="D20" s="319"/>
      <c r="E20" s="319"/>
      <c r="F20" s="319"/>
      <c r="G20" s="319"/>
      <c r="H20" s="319"/>
    </row>
    <row r="21" spans="2:13" ht="14.1" customHeight="1">
      <c r="B21" s="310"/>
      <c r="C21" s="310"/>
      <c r="D21" s="310"/>
      <c r="E21" s="310"/>
      <c r="F21" s="310"/>
      <c r="G21" s="310"/>
      <c r="H21" s="310"/>
    </row>
    <row r="22" spans="2:13" s="5" customFormat="1" ht="14.1" customHeight="1">
      <c r="B22" s="36" t="s">
        <v>7</v>
      </c>
      <c r="C22" s="37"/>
      <c r="D22" s="37"/>
      <c r="E22" s="37"/>
      <c r="F22" s="37"/>
      <c r="G22" s="37"/>
      <c r="H22" s="38"/>
    </row>
    <row r="23" spans="2:13" s="5" customFormat="1" ht="14.1" customHeight="1">
      <c r="B23" s="40"/>
      <c r="C23" s="41"/>
      <c r="D23" s="40"/>
      <c r="E23" s="40"/>
      <c r="F23" s="40"/>
      <c r="G23" s="40"/>
      <c r="H23" s="40"/>
    </row>
    <row r="24" spans="2:13" s="5" customFormat="1" ht="14.1" customHeight="1">
      <c r="B24" s="67" t="str">
        <f>$D$5</f>
        <v>Telemetry</v>
      </c>
      <c r="C24" s="67"/>
      <c r="D24" s="68" t="s">
        <v>106</v>
      </c>
      <c r="E24" s="68" t="s">
        <v>30</v>
      </c>
      <c r="F24" s="68" t="s">
        <v>10</v>
      </c>
      <c r="G24" s="69" t="s">
        <v>31</v>
      </c>
      <c r="H24" s="40"/>
      <c r="J24" s="73" t="s">
        <v>32</v>
      </c>
      <c r="K24" s="73" t="s">
        <v>33</v>
      </c>
      <c r="L24" s="73" t="s">
        <v>34</v>
      </c>
      <c r="M24" s="73" t="s">
        <v>35</v>
      </c>
    </row>
    <row r="25" spans="2:13" s="5" customFormat="1" ht="14.1" hidden="1" customHeight="1">
      <c r="B25" s="64"/>
      <c r="C25" s="57"/>
      <c r="D25" s="80">
        <v>12</v>
      </c>
      <c r="E25" s="66">
        <v>0</v>
      </c>
      <c r="F25" s="66">
        <f>PRODUCT(E25,D25)</f>
        <v>0</v>
      </c>
      <c r="G25" s="71" t="s">
        <v>81</v>
      </c>
      <c r="H25" s="40"/>
      <c r="J25" s="74">
        <f>INDEX(MASTER!$C$25:$F$42,MATCH($G25,allocation,0),MATCH(J$24,MASTER!$C$24:$F$24,0))</f>
        <v>0</v>
      </c>
      <c r="K25" s="74">
        <f>INDEX(MASTER!$C$25:$F$42,MATCH($G25,allocation,0),MATCH(K$24,MASTER!$C$24:$F$24,0))</f>
        <v>1</v>
      </c>
      <c r="L25" s="74">
        <f>INDEX(MASTER!$C$25:$F$42,MATCH($G25,allocation,0),MATCH(L$24,MASTER!$C$24:$F$24,0))</f>
        <v>0</v>
      </c>
      <c r="M25" s="74">
        <f>INDEX(MASTER!$C$25:$F$42,MATCH($G25,allocation,0),MATCH(M$24,MASTER!$C$24:$F$24,0))</f>
        <v>0</v>
      </c>
    </row>
    <row r="26" spans="2:13" s="5" customFormat="1" ht="14.1" hidden="1" customHeight="1">
      <c r="B26" s="64"/>
      <c r="C26" s="57"/>
      <c r="D26" s="80">
        <v>12</v>
      </c>
      <c r="E26" s="66">
        <v>0</v>
      </c>
      <c r="F26" s="66">
        <f t="shared" ref="F26:F29" si="2">PRODUCT(E26,D26)</f>
        <v>0</v>
      </c>
      <c r="G26" s="81" t="s">
        <v>81</v>
      </c>
      <c r="H26" s="40"/>
      <c r="J26" s="74">
        <f>INDEX(MASTER!$C$25:$F$42,MATCH($G26,allocation,0),MATCH(J$24,MASTER!$C$24:$F$24,0))</f>
        <v>0</v>
      </c>
      <c r="K26" s="74">
        <f>INDEX(MASTER!$C$25:$F$42,MATCH($G26,allocation,0),MATCH(K$24,MASTER!$C$24:$F$24,0))</f>
        <v>1</v>
      </c>
      <c r="L26" s="74">
        <f>INDEX(MASTER!$C$25:$F$42,MATCH($G26,allocation,0),MATCH(L$24,MASTER!$C$24:$F$24,0))</f>
        <v>0</v>
      </c>
      <c r="M26" s="74">
        <f>INDEX(MASTER!$C$25:$F$42,MATCH($G26,allocation,0),MATCH(M$24,MASTER!$C$24:$F$24,0))</f>
        <v>0</v>
      </c>
    </row>
    <row r="27" spans="2:13" s="5" customFormat="1" ht="14.1" customHeight="1">
      <c r="B27" s="64" t="s">
        <v>107</v>
      </c>
      <c r="C27" s="57"/>
      <c r="D27" s="80">
        <v>12</v>
      </c>
      <c r="E27" s="66">
        <v>900</v>
      </c>
      <c r="F27" s="66">
        <f t="shared" si="2"/>
        <v>10800</v>
      </c>
      <c r="G27" s="81" t="s">
        <v>81</v>
      </c>
      <c r="H27" s="40"/>
      <c r="J27" s="74">
        <f>INDEX(MASTER!$C$25:$F$42,MATCH($G27,allocation,0),MATCH(J$24,MASTER!$C$24:$F$24,0))</f>
        <v>0</v>
      </c>
      <c r="K27" s="74">
        <f>INDEX(MASTER!$C$25:$F$42,MATCH($G27,allocation,0),MATCH(K$24,MASTER!$C$24:$F$24,0))</f>
        <v>1</v>
      </c>
      <c r="L27" s="74">
        <f>INDEX(MASTER!$C$25:$F$42,MATCH($G27,allocation,0),MATCH(L$24,MASTER!$C$24:$F$24,0))</f>
        <v>0</v>
      </c>
      <c r="M27" s="74">
        <f>INDEX(MASTER!$C$25:$F$42,MATCH($G27,allocation,0),MATCH(M$24,MASTER!$C$24:$F$24,0))</f>
        <v>0</v>
      </c>
    </row>
    <row r="28" spans="2:13" s="5" customFormat="1" ht="14.1" customHeight="1">
      <c r="B28" s="64" t="s">
        <v>108</v>
      </c>
      <c r="C28" s="57"/>
      <c r="D28" s="80">
        <v>12</v>
      </c>
      <c r="E28" s="66">
        <v>850</v>
      </c>
      <c r="F28" s="66">
        <f t="shared" si="2"/>
        <v>10200</v>
      </c>
      <c r="G28" s="81" t="s">
        <v>81</v>
      </c>
      <c r="H28" s="40"/>
      <c r="J28" s="74">
        <f>INDEX(MASTER!$C$25:$F$42,MATCH($G28,allocation,0),MATCH(J$24,MASTER!$C$24:$F$24,0))</f>
        <v>0</v>
      </c>
      <c r="K28" s="74">
        <f>INDEX(MASTER!$C$25:$F$42,MATCH($G28,allocation,0),MATCH(K$24,MASTER!$C$24:$F$24,0))</f>
        <v>1</v>
      </c>
      <c r="L28" s="74">
        <f>INDEX(MASTER!$C$25:$F$42,MATCH($G28,allocation,0),MATCH(L$24,MASTER!$C$24:$F$24,0))</f>
        <v>0</v>
      </c>
      <c r="M28" s="74">
        <f>INDEX(MASTER!$C$25:$F$42,MATCH($G28,allocation,0),MATCH(M$24,MASTER!$C$24:$F$24,0))</f>
        <v>0</v>
      </c>
    </row>
    <row r="29" spans="2:13" s="5" customFormat="1" ht="14.1" customHeight="1">
      <c r="B29" s="64" t="s">
        <v>109</v>
      </c>
      <c r="C29" s="57"/>
      <c r="D29" s="80">
        <v>12</v>
      </c>
      <c r="E29" s="66">
        <v>880</v>
      </c>
      <c r="F29" s="66">
        <f t="shared" si="2"/>
        <v>10560</v>
      </c>
      <c r="G29" s="81" t="s">
        <v>81</v>
      </c>
      <c r="H29" s="40"/>
      <c r="J29" s="74">
        <f>INDEX(MASTER!$C$25:$F$42,MATCH($G29,allocation,0),MATCH(J$24,MASTER!$C$24:$F$24,0))</f>
        <v>0</v>
      </c>
      <c r="K29" s="74">
        <f>INDEX(MASTER!$C$25:$F$42,MATCH($G29,allocation,0),MATCH(K$24,MASTER!$C$24:$F$24,0))</f>
        <v>1</v>
      </c>
      <c r="L29" s="74">
        <f>INDEX(MASTER!$C$25:$F$42,MATCH($G29,allocation,0),MATCH(L$24,MASTER!$C$24:$F$24,0))</f>
        <v>0</v>
      </c>
      <c r="M29" s="74">
        <f>INDEX(MASTER!$C$25:$F$42,MATCH($G29,allocation,0),MATCH(M$24,MASTER!$C$24:$F$24,0))</f>
        <v>0</v>
      </c>
    </row>
    <row r="30" spans="2:13" s="5" customFormat="1" ht="14.1" customHeight="1">
      <c r="B30" s="64" t="s">
        <v>110</v>
      </c>
      <c r="C30" s="57"/>
      <c r="D30" s="80"/>
      <c r="E30" s="66"/>
      <c r="F30" s="66">
        <v>2000</v>
      </c>
      <c r="G30" s="81" t="s">
        <v>81</v>
      </c>
      <c r="H30" s="40"/>
      <c r="J30" s="74">
        <f>INDEX(MASTER!$C$25:$F$42,MATCH($G30,allocation,0),MATCH(J$24,MASTER!$C$24:$F$24,0))</f>
        <v>0</v>
      </c>
      <c r="K30" s="74">
        <f>INDEX(MASTER!$C$25:$F$42,MATCH($G30,allocation,0),MATCH(K$24,MASTER!$C$24:$F$24,0))</f>
        <v>1</v>
      </c>
      <c r="L30" s="74">
        <f>INDEX(MASTER!$C$25:$F$42,MATCH($G30,allocation,0),MATCH(L$24,MASTER!$C$24:$F$24,0))</f>
        <v>0</v>
      </c>
      <c r="M30" s="74">
        <f>INDEX(MASTER!$C$25:$F$42,MATCH($G30,allocation,0),MATCH(M$24,MASTER!$C$24:$F$24,0))</f>
        <v>0</v>
      </c>
    </row>
    <row r="31" spans="2:13" s="5" customFormat="1" ht="14.1" customHeight="1" thickBot="1">
      <c r="B31" s="49" t="s">
        <v>10</v>
      </c>
      <c r="C31" s="49"/>
      <c r="D31" s="49"/>
      <c r="E31" s="49"/>
      <c r="F31" s="50">
        <f>SUM(F25:F30)</f>
        <v>33560</v>
      </c>
      <c r="G31" s="49"/>
      <c r="H31" s="40"/>
    </row>
    <row r="32" spans="2:13" s="5" customFormat="1" ht="14.1" customHeight="1" thickTop="1">
      <c r="B32" s="40"/>
      <c r="C32" s="41"/>
      <c r="G32" s="40"/>
      <c r="H32" s="40"/>
    </row>
    <row r="33" spans="2:8" s="5" customFormat="1" ht="14.1" customHeight="1">
      <c r="B33" s="41" t="s">
        <v>11</v>
      </c>
      <c r="C33" s="35">
        <f>ROUNDUP($F$31,-$B$34)</f>
        <v>34000</v>
      </c>
      <c r="F33" s="40"/>
      <c r="G33" s="40"/>
      <c r="H33" s="40"/>
    </row>
    <row r="34" spans="2:8" s="5" customFormat="1" ht="14.1" customHeight="1">
      <c r="B34" s="51">
        <v>3</v>
      </c>
      <c r="C34" s="41"/>
      <c r="D34" s="40"/>
      <c r="E34" s="40"/>
      <c r="F34" s="40"/>
      <c r="G34" s="40"/>
      <c r="H34" s="40"/>
    </row>
    <row r="35" spans="2:8" s="5" customFormat="1" ht="14.1" customHeight="1">
      <c r="B35" s="40"/>
      <c r="C35" s="41"/>
      <c r="D35" s="40"/>
      <c r="E35" s="40"/>
      <c r="F35" s="40"/>
      <c r="G35" s="40"/>
      <c r="H35" s="40"/>
    </row>
    <row r="36" spans="2:8" s="5" customFormat="1" ht="14.1" customHeight="1">
      <c r="B36" s="40"/>
      <c r="C36" s="41"/>
      <c r="D36" s="40"/>
      <c r="E36" s="53" t="s">
        <v>12</v>
      </c>
      <c r="F36" s="54" t="s">
        <v>13</v>
      </c>
      <c r="G36" s="54" t="s">
        <v>14</v>
      </c>
      <c r="H36" s="55" t="s">
        <v>15</v>
      </c>
    </row>
    <row r="37" spans="2:8" s="5" customFormat="1" ht="14.1" customHeight="1">
      <c r="B37" s="36"/>
      <c r="C37" s="36"/>
      <c r="D37" s="36"/>
      <c r="E37" s="53" t="str">
        <f>"FY "&amp;MASTER!$B$4-1&amp;" - "&amp;MASTER!$B$4</f>
        <v>FY 2020 - 2021</v>
      </c>
      <c r="F37" s="56">
        <f>MASTER!$B$6</f>
        <v>44255</v>
      </c>
      <c r="G37" s="54" t="str">
        <f>"June "&amp;MASTER!$B$4</f>
        <v>June 2021</v>
      </c>
      <c r="H37" s="55" t="str">
        <f>"FY "&amp;MASTER!$B$4&amp;" - "&amp;MASTER!$B$5</f>
        <v>FY 2021 - 2022</v>
      </c>
    </row>
    <row r="38" spans="2:8" s="5" customFormat="1" ht="14.1" customHeight="1">
      <c r="B38" s="57"/>
      <c r="C38" s="57"/>
      <c r="D38" s="58"/>
      <c r="E38" s="59"/>
      <c r="F38" s="60"/>
      <c r="G38" s="60"/>
      <c r="H38" s="58"/>
    </row>
    <row r="39" spans="2:8" s="5" customFormat="1" ht="14.1" customHeight="1">
      <c r="B39" s="40" t="str">
        <f>$D$5</f>
        <v>Telemetry</v>
      </c>
      <c r="C39" s="41"/>
      <c r="D39" s="58"/>
      <c r="E39" s="61">
        <v>34000</v>
      </c>
      <c r="F39" s="62">
        <v>23900</v>
      </c>
      <c r="G39" s="62">
        <v>34000</v>
      </c>
      <c r="H39" s="63">
        <f>C33</f>
        <v>34000</v>
      </c>
    </row>
    <row r="40" spans="2:8" s="5" customFormat="1" ht="14.1" customHeight="1">
      <c r="B40" s="40"/>
      <c r="C40" s="41"/>
      <c r="D40" s="58"/>
      <c r="E40" s="59"/>
      <c r="F40" s="59"/>
      <c r="G40" s="58"/>
      <c r="H40" s="82"/>
    </row>
    <row r="41" spans="2:8" s="5" customFormat="1" ht="14.1" customHeight="1">
      <c r="B41" s="2"/>
      <c r="C41" s="1"/>
    </row>
    <row r="42" spans="2:8" s="5" customFormat="1" ht="14.1" customHeight="1">
      <c r="B42" s="36" t="s">
        <v>39</v>
      </c>
      <c r="C42" s="36"/>
      <c r="D42" s="55" t="s">
        <v>40</v>
      </c>
      <c r="E42" s="55" t="s">
        <v>41</v>
      </c>
    </row>
    <row r="43" spans="2:8" s="5" customFormat="1" ht="14.1" customHeight="1">
      <c r="B43" s="75" t="s">
        <v>32</v>
      </c>
      <c r="C43" s="84">
        <f>$E43/E$47</f>
        <v>0</v>
      </c>
      <c r="D43" s="78">
        <f>SUMPRODUCT($F$25:$F$30,$J$25:$J$30)</f>
        <v>0</v>
      </c>
      <c r="E43" s="78">
        <f>$D43+($C$33-SUM($D$43:$D$46))*($D43/$D$47)</f>
        <v>0</v>
      </c>
    </row>
    <row r="44" spans="2:8" s="5" customFormat="1" ht="14.1" customHeight="1">
      <c r="B44" s="75" t="s">
        <v>33</v>
      </c>
      <c r="C44" s="84">
        <f t="shared" ref="C44:C46" si="3">$E44/E$47</f>
        <v>1</v>
      </c>
      <c r="D44" s="78">
        <f>SUMPRODUCT($F$25:$F$30,$K$25:$K$30)</f>
        <v>33560</v>
      </c>
      <c r="E44" s="78">
        <f>$D44+($C$33-SUM($D$43:$D$46))*($D44/$D$47)</f>
        <v>34000</v>
      </c>
    </row>
    <row r="45" spans="2:8" s="5" customFormat="1" ht="14.1" customHeight="1">
      <c r="B45" s="75" t="s">
        <v>34</v>
      </c>
      <c r="C45" s="84">
        <f t="shared" si="3"/>
        <v>0</v>
      </c>
      <c r="D45" s="78">
        <f>SUMPRODUCT($F$25:$F$30,$L$25:$L$30)</f>
        <v>0</v>
      </c>
      <c r="E45" s="78">
        <f>$D45+($C$33-SUM($D$43:$D$46))*($D45/$D$47)</f>
        <v>0</v>
      </c>
    </row>
    <row r="46" spans="2:8" s="5" customFormat="1" ht="14.1" customHeight="1">
      <c r="B46" s="75" t="s">
        <v>35</v>
      </c>
      <c r="C46" s="84">
        <f t="shared" si="3"/>
        <v>0</v>
      </c>
      <c r="D46" s="78">
        <f>SUMPRODUCT($F$25:$F$30,$M$25:$M$30)</f>
        <v>0</v>
      </c>
      <c r="E46" s="78">
        <f>$D46+($C$33-SUM($D$43:$D$46))*($D46/$D$47)</f>
        <v>0</v>
      </c>
    </row>
    <row r="47" spans="2:8" s="5" customFormat="1" ht="12.75" customHeight="1">
      <c r="B47" s="77" t="s">
        <v>10</v>
      </c>
      <c r="C47" s="85">
        <f>SUM($C$43:$C$46)</f>
        <v>1</v>
      </c>
      <c r="D47" s="79">
        <f>SUM(D43:D46)</f>
        <v>33560</v>
      </c>
      <c r="E47" s="79">
        <f>SUM(E43:E46)</f>
        <v>34000</v>
      </c>
    </row>
    <row r="48" spans="2:8" s="5" customFormat="1" ht="12.75" customHeight="1">
      <c r="B48" s="2"/>
      <c r="C48" s="2"/>
      <c r="D48" s="2"/>
      <c r="E48" s="76"/>
    </row>
    <row r="49" spans="4:253" s="5" customFormat="1" ht="12.75" customHeight="1">
      <c r="E49" s="20"/>
      <c r="F49" s="6"/>
    </row>
    <row r="50" spans="4:253" s="5" customFormat="1" ht="12.75" customHeight="1">
      <c r="E50" s="20"/>
    </row>
    <row r="51" spans="4:253" s="5" customFormat="1" ht="12.75" customHeight="1">
      <c r="D51" s="21"/>
      <c r="E51" s="20"/>
    </row>
    <row r="52" spans="4:253" s="5" customFormat="1" ht="12.75" customHeight="1">
      <c r="D52" s="21"/>
      <c r="E52" s="20"/>
    </row>
    <row r="53" spans="4:253" s="5" customFormat="1" ht="12.75" customHeight="1">
      <c r="E53" s="20"/>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row>
    <row r="54" spans="4:253" s="5" customFormat="1" ht="12.75" customHeight="1">
      <c r="D54" s="21"/>
      <c r="E54" s="20"/>
    </row>
    <row r="55" spans="4:253" s="5" customFormat="1" ht="12.75" customHeight="1">
      <c r="E55" s="20"/>
    </row>
    <row r="56" spans="4:253" ht="12.75" customHeight="1">
      <c r="E56" s="20"/>
    </row>
    <row r="57" spans="4:253" ht="12.75" customHeight="1">
      <c r="E57" s="4"/>
    </row>
    <row r="58" spans="4:253">
      <c r="E58" s="3"/>
    </row>
    <row r="70" spans="4:5">
      <c r="D70" s="3"/>
      <c r="E70" s="3"/>
    </row>
  </sheetData>
  <mergeCells count="4">
    <mergeCell ref="E4:F4"/>
    <mergeCell ref="D5:G5"/>
    <mergeCell ref="B13:H15"/>
    <mergeCell ref="B18:H20"/>
  </mergeCells>
  <dataValidations count="2">
    <dataValidation type="list" allowBlank="1" showInputMessage="1" showErrorMessage="1" sqref="E4" xr:uid="{00000000-0002-0000-1200-000000000000}">
      <formula1>enterprise</formula1>
    </dataValidation>
    <dataValidation type="list" allowBlank="1" showInputMessage="1" showErrorMessage="1" sqref="G25:G30" xr:uid="{00000000-0002-0000-1200-000001000000}">
      <formula1>allocation</formula1>
    </dataValidation>
  </dataValidations>
  <pageMargins left="0.7" right="0.7" top="0.75" bottom="0.75" header="0.3" footer="0.3"/>
  <pageSetup scale="9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B2:IS63"/>
  <sheetViews>
    <sheetView topLeftCell="A3" workbookViewId="0">
      <selection activeCell="H22" sqref="H22"/>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E31</f>
        <v>20000</v>
      </c>
      <c r="K2" s="120">
        <f t="shared" ref="K2:M2" si="0">F31</f>
        <v>15850</v>
      </c>
      <c r="L2" s="120">
        <f t="shared" si="0"/>
        <v>19000</v>
      </c>
      <c r="M2" s="120">
        <f t="shared" si="0"/>
        <v>21000</v>
      </c>
    </row>
    <row r="3" spans="2:13" ht="14.1" customHeight="1">
      <c r="B3" s="40"/>
      <c r="C3" s="40"/>
      <c r="D3" s="40"/>
      <c r="E3" s="40"/>
      <c r="F3" s="40"/>
      <c r="G3" s="40"/>
      <c r="H3" s="40"/>
      <c r="J3" s="121">
        <f>C36</f>
        <v>0</v>
      </c>
      <c r="K3" s="121"/>
      <c r="L3" s="121"/>
      <c r="M3" s="121"/>
    </row>
    <row r="4" spans="2:13" ht="23.25" customHeight="1">
      <c r="B4" s="40"/>
      <c r="C4" s="40"/>
      <c r="D4" s="40"/>
      <c r="E4" s="316" t="s">
        <v>16</v>
      </c>
      <c r="F4" s="316"/>
      <c r="G4" s="41"/>
      <c r="H4" s="40"/>
      <c r="J4" s="121">
        <f t="shared" ref="J4:J6" si="1">C37</f>
        <v>1</v>
      </c>
    </row>
    <row r="5" spans="2:13" ht="14.1" customHeight="1">
      <c r="B5" s="42"/>
      <c r="C5" s="42"/>
      <c r="D5" s="312" t="str">
        <f>'Operating Budget'!B34</f>
        <v>Power</v>
      </c>
      <c r="E5" s="312"/>
      <c r="F5" s="312"/>
      <c r="G5" s="312"/>
      <c r="H5" s="43"/>
      <c r="J5" s="121">
        <f t="shared" si="1"/>
        <v>0</v>
      </c>
    </row>
    <row r="6" spans="2:13" ht="19.5" customHeight="1">
      <c r="B6" s="40"/>
      <c r="C6" s="40"/>
      <c r="D6" s="40"/>
      <c r="E6" s="40"/>
      <c r="H6" s="40"/>
      <c r="J6" s="121">
        <f t="shared" si="1"/>
        <v>0</v>
      </c>
    </row>
    <row r="7" spans="2:13" ht="14.1" hidden="1" customHeight="1">
      <c r="B7" s="40"/>
      <c r="C7" s="40"/>
      <c r="D7" s="40"/>
      <c r="E7" s="40"/>
      <c r="F7" s="44"/>
      <c r="G7" s="44"/>
      <c r="H7" s="40"/>
    </row>
    <row r="8" spans="2:13" ht="14.1" customHeight="1">
      <c r="B8" s="41" t="s">
        <v>2</v>
      </c>
      <c r="C8" s="40">
        <f>'Operating Budget'!C34</f>
        <v>4275</v>
      </c>
      <c r="D8" s="40"/>
      <c r="E8" s="40"/>
      <c r="F8" s="202"/>
      <c r="G8" s="40"/>
      <c r="H8" s="40"/>
    </row>
    <row r="9" spans="2:13" ht="14.1" customHeight="1">
      <c r="B9" s="41" t="s">
        <v>3</v>
      </c>
      <c r="C9" s="40">
        <f>INDEX('Operating Budget'!$A$11:$A$107,MATCH('14'!C8,'Operating Budget'!C11:C107))</f>
        <v>14</v>
      </c>
      <c r="D9" s="40"/>
      <c r="E9" s="40"/>
      <c r="F9" s="40"/>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111</v>
      </c>
      <c r="C13" s="319"/>
      <c r="D13" s="319"/>
      <c r="E13" s="319"/>
      <c r="F13" s="319"/>
      <c r="G13" s="319"/>
      <c r="H13" s="319"/>
    </row>
    <row r="14" spans="2:13" ht="14.1" hidden="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t="s">
        <v>112</v>
      </c>
      <c r="C17" s="319"/>
      <c r="D17" s="319"/>
      <c r="E17" s="319"/>
      <c r="F17" s="319"/>
      <c r="G17" s="319"/>
      <c r="H17" s="319"/>
    </row>
    <row r="18" spans="2:13" ht="14.1" customHeight="1">
      <c r="B18" s="310"/>
      <c r="C18" s="310"/>
      <c r="D18" s="310"/>
      <c r="E18" s="310"/>
      <c r="F18" s="310"/>
      <c r="G18" s="310"/>
      <c r="H18" s="310"/>
    </row>
    <row r="19" spans="2:13" s="5" customFormat="1" ht="14.1" customHeight="1">
      <c r="B19" s="36" t="s">
        <v>7</v>
      </c>
      <c r="C19" s="37"/>
      <c r="D19" s="37"/>
      <c r="E19" s="37"/>
      <c r="F19" s="37"/>
      <c r="G19" s="37"/>
      <c r="H19" s="38"/>
    </row>
    <row r="20" spans="2:13" s="5" customFormat="1" ht="14.1" customHeight="1">
      <c r="B20" s="40"/>
      <c r="C20" s="41"/>
      <c r="D20" s="40"/>
      <c r="E20" s="40"/>
      <c r="F20" s="40"/>
      <c r="G20" s="40"/>
      <c r="H20" s="40"/>
    </row>
    <row r="21" spans="2:13" s="5" customFormat="1" ht="14.1" customHeight="1">
      <c r="B21" s="67" t="str">
        <f>$D$5</f>
        <v>Power</v>
      </c>
      <c r="C21" s="67"/>
      <c r="D21" s="68" t="s">
        <v>29</v>
      </c>
      <c r="E21" s="68" t="s">
        <v>30</v>
      </c>
      <c r="F21" s="68" t="s">
        <v>10</v>
      </c>
      <c r="G21" s="69" t="s">
        <v>31</v>
      </c>
      <c r="H21" s="40"/>
      <c r="J21" s="73" t="s">
        <v>32</v>
      </c>
      <c r="K21" s="73" t="s">
        <v>33</v>
      </c>
      <c r="L21" s="73" t="s">
        <v>34</v>
      </c>
      <c r="M21" s="73" t="s">
        <v>35</v>
      </c>
    </row>
    <row r="22" spans="2:13" s="5" customFormat="1" ht="14.1" customHeight="1">
      <c r="B22" s="64" t="s">
        <v>113</v>
      </c>
      <c r="C22" s="57"/>
      <c r="D22" s="80">
        <v>12</v>
      </c>
      <c r="E22" s="66">
        <v>1750</v>
      </c>
      <c r="F22" s="66">
        <f>PRODUCT(E22,D22)</f>
        <v>21000</v>
      </c>
      <c r="G22" s="71" t="s">
        <v>81</v>
      </c>
      <c r="H22" s="40"/>
      <c r="J22" s="74">
        <f>INDEX(MASTER!$C$25:$F$42,MATCH($G22,allocation,0),MATCH(J$21,MASTER!$C$24:$F$24,0))</f>
        <v>0</v>
      </c>
      <c r="K22" s="74">
        <f>INDEX(MASTER!$C$25:$F$42,MATCH($G22,allocation,0),MATCH(K$21,MASTER!$C$24:$F$24,0))</f>
        <v>1</v>
      </c>
      <c r="L22" s="74">
        <f>INDEX(MASTER!$C$25:$F$42,MATCH($G22,allocation,0),MATCH(L$21,MASTER!$C$24:$F$24,0))</f>
        <v>0</v>
      </c>
      <c r="M22" s="74">
        <f>INDEX(MASTER!$C$25:$F$42,MATCH($G22,allocation,0),MATCH(M$21,MASTER!$C$24:$F$24,0))</f>
        <v>0</v>
      </c>
    </row>
    <row r="23" spans="2:13" s="5" customFormat="1" ht="14.1" customHeight="1" thickBot="1">
      <c r="B23" s="49" t="s">
        <v>10</v>
      </c>
      <c r="C23" s="49"/>
      <c r="D23" s="49"/>
      <c r="E23" s="49"/>
      <c r="F23" s="50">
        <f>SUM(F22:F22)</f>
        <v>21000</v>
      </c>
      <c r="G23" s="49"/>
      <c r="H23" s="40"/>
    </row>
    <row r="24" spans="2:13" s="5" customFormat="1" ht="14.1" customHeight="1" thickTop="1">
      <c r="B24" s="40"/>
      <c r="C24" s="41"/>
      <c r="G24" s="40"/>
      <c r="H24" s="40"/>
    </row>
    <row r="25" spans="2:13" s="5" customFormat="1" ht="14.1" customHeight="1">
      <c r="B25" s="41" t="s">
        <v>11</v>
      </c>
      <c r="C25" s="35">
        <f>ROUNDUP($F$23,-$B$26)</f>
        <v>21000</v>
      </c>
      <c r="F25" s="40"/>
      <c r="G25" s="40"/>
      <c r="H25" s="40"/>
    </row>
    <row r="26" spans="2:13" s="5" customFormat="1" ht="14.1" customHeight="1">
      <c r="B26" s="51">
        <v>3</v>
      </c>
      <c r="C26" s="41"/>
      <c r="D26" s="40"/>
      <c r="E26" s="40"/>
      <c r="F26" s="40"/>
      <c r="G26" s="40"/>
      <c r="H26" s="40"/>
    </row>
    <row r="27" spans="2:13" s="5" customFormat="1" ht="14.1" customHeight="1">
      <c r="B27" s="40"/>
      <c r="C27" s="41"/>
      <c r="D27" s="40"/>
      <c r="E27" s="40"/>
      <c r="F27" s="40"/>
      <c r="G27" s="40"/>
      <c r="H27" s="40"/>
    </row>
    <row r="28" spans="2:13" s="5" customFormat="1" ht="14.1" customHeight="1">
      <c r="B28" s="40"/>
      <c r="C28" s="41"/>
      <c r="D28" s="40"/>
      <c r="E28" s="53" t="s">
        <v>12</v>
      </c>
      <c r="F28" s="54" t="s">
        <v>13</v>
      </c>
      <c r="G28" s="54" t="s">
        <v>14</v>
      </c>
      <c r="H28" s="55" t="s">
        <v>15</v>
      </c>
    </row>
    <row r="29" spans="2:13" s="5" customFormat="1" ht="14.1" customHeight="1">
      <c r="B29" s="36"/>
      <c r="C29" s="36"/>
      <c r="D29" s="36"/>
      <c r="E29" s="53" t="str">
        <f>"FY "&amp;MASTER!$B$4-1&amp;" - "&amp;MASTER!$B$4</f>
        <v>FY 2020 - 2021</v>
      </c>
      <c r="F29" s="56">
        <f>MASTER!$B$6</f>
        <v>44255</v>
      </c>
      <c r="G29" s="54" t="str">
        <f>"June "&amp;MASTER!$B$4</f>
        <v>June 2021</v>
      </c>
      <c r="H29" s="55" t="str">
        <f>"FY "&amp;MASTER!$B$4&amp;" - "&amp;MASTER!$B$5</f>
        <v>FY 2021 - 2022</v>
      </c>
    </row>
    <row r="30" spans="2:13" s="5" customFormat="1" ht="14.1" customHeight="1">
      <c r="B30" s="57"/>
      <c r="C30" s="57"/>
      <c r="D30" s="58"/>
      <c r="E30" s="59"/>
      <c r="F30" s="60"/>
      <c r="G30" s="60"/>
      <c r="H30" s="58"/>
    </row>
    <row r="31" spans="2:13" s="5" customFormat="1" ht="14.1" customHeight="1">
      <c r="B31" s="40" t="str">
        <f>$D$5</f>
        <v>Power</v>
      </c>
      <c r="C31" s="41"/>
      <c r="D31" s="58"/>
      <c r="E31" s="61">
        <v>20000</v>
      </c>
      <c r="F31" s="62">
        <v>15850</v>
      </c>
      <c r="G31" s="62">
        <v>19000</v>
      </c>
      <c r="H31" s="63">
        <f>C25</f>
        <v>21000</v>
      </c>
    </row>
    <row r="32" spans="2:13" s="5" customFormat="1" ht="14.1" customHeight="1">
      <c r="B32" s="40"/>
      <c r="C32" s="41"/>
      <c r="D32" s="58"/>
      <c r="E32" s="59"/>
      <c r="F32" s="59"/>
      <c r="G32" s="58"/>
      <c r="H32" s="82"/>
    </row>
    <row r="33" spans="2:253" s="5" customFormat="1" ht="14.1" customHeight="1">
      <c r="B33" s="40"/>
      <c r="C33" s="41"/>
      <c r="D33" s="58"/>
      <c r="E33" s="58"/>
      <c r="F33" s="58"/>
      <c r="G33" s="58" t="s">
        <v>114</v>
      </c>
      <c r="H33" s="63"/>
    </row>
    <row r="34" spans="2:253" s="5" customFormat="1" ht="14.1" customHeight="1">
      <c r="B34" s="2"/>
      <c r="C34" s="1"/>
    </row>
    <row r="35" spans="2:253" s="5" customFormat="1" ht="14.1" customHeight="1">
      <c r="B35" s="36" t="s">
        <v>39</v>
      </c>
      <c r="C35" s="36"/>
      <c r="D35" s="55" t="s">
        <v>40</v>
      </c>
      <c r="E35" s="55" t="s">
        <v>41</v>
      </c>
    </row>
    <row r="36" spans="2:253" s="5" customFormat="1" ht="14.1" customHeight="1">
      <c r="B36" s="75" t="s">
        <v>32</v>
      </c>
      <c r="C36" s="84">
        <f>E36/E40</f>
        <v>0</v>
      </c>
      <c r="D36" s="78">
        <f>SUMPRODUCT($F$22:$F$22,$J$22:$J$22)</f>
        <v>0</v>
      </c>
      <c r="E36" s="78">
        <f>$D36+($C$25-SUM($D$36:$D$39))*($D36/$D$40)</f>
        <v>0</v>
      </c>
    </row>
    <row r="37" spans="2:253" s="5" customFormat="1" ht="14.1" customHeight="1">
      <c r="B37" s="75" t="s">
        <v>33</v>
      </c>
      <c r="C37" s="84">
        <f>E37/E40</f>
        <v>1</v>
      </c>
      <c r="D37" s="78">
        <f>SUMPRODUCT($F$22:$F$22,$K$22:$K$22)</f>
        <v>21000</v>
      </c>
      <c r="E37" s="78">
        <f>$D37+($C$25-SUM($D$36:$D$39))*($D37/$D$40)</f>
        <v>21000</v>
      </c>
    </row>
    <row r="38" spans="2:253" s="5" customFormat="1" ht="14.1" customHeight="1">
      <c r="B38" s="75" t="s">
        <v>34</v>
      </c>
      <c r="C38" s="84">
        <f>E38/E40</f>
        <v>0</v>
      </c>
      <c r="D38" s="78">
        <f>SUMPRODUCT($F$22:$F$22,$L$22:$L$22)</f>
        <v>0</v>
      </c>
      <c r="E38" s="78">
        <f>$D38+($C$25-SUM($D$36:$D$39))*($D38/$D$40)</f>
        <v>0</v>
      </c>
    </row>
    <row r="39" spans="2:253" s="5" customFormat="1" ht="14.1" customHeight="1">
      <c r="B39" s="75" t="s">
        <v>35</v>
      </c>
      <c r="C39" s="84">
        <f>E39/E40</f>
        <v>0</v>
      </c>
      <c r="D39" s="78">
        <f>SUMPRODUCT($F$22:$F$22,$M$22:$M$22)</f>
        <v>0</v>
      </c>
      <c r="E39" s="78">
        <f>$D39+($C$25-SUM($D$36:$D$39))*($D39/$D$40)</f>
        <v>0</v>
      </c>
    </row>
    <row r="40" spans="2:253" s="5" customFormat="1" ht="12.75" customHeight="1">
      <c r="B40" s="77" t="s">
        <v>10</v>
      </c>
      <c r="C40" s="85">
        <f>SUM(C36:C39)</f>
        <v>1</v>
      </c>
      <c r="D40" s="79">
        <f>SUM(D36:D39)</f>
        <v>21000</v>
      </c>
      <c r="E40" s="79">
        <f>SUM(E36:E39)</f>
        <v>21000</v>
      </c>
    </row>
    <row r="41" spans="2:253" s="5" customFormat="1" ht="12.75" customHeight="1">
      <c r="B41" s="2"/>
      <c r="C41" s="2"/>
      <c r="D41" s="2"/>
      <c r="E41" s="76"/>
    </row>
    <row r="42" spans="2:253" s="5" customFormat="1" ht="12.75" customHeight="1">
      <c r="E42" s="20"/>
      <c r="F42" s="6"/>
    </row>
    <row r="43" spans="2:253" s="5" customFormat="1" ht="12.75" customHeight="1">
      <c r="E43" s="20"/>
    </row>
    <row r="44" spans="2:253" s="5" customFormat="1" ht="12.75" customHeight="1">
      <c r="D44" s="21"/>
      <c r="E44" s="20"/>
    </row>
    <row r="45" spans="2:253" s="5" customFormat="1" ht="12.75" customHeight="1">
      <c r="D45" s="21"/>
      <c r="E45" s="20"/>
    </row>
    <row r="46" spans="2:253" s="5" customFormat="1" ht="12.75" customHeight="1">
      <c r="E46" s="20"/>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row>
    <row r="47" spans="2:253" s="5" customFormat="1" ht="12.75" customHeight="1">
      <c r="D47" s="21"/>
      <c r="E47" s="20"/>
    </row>
    <row r="48" spans="2:253" s="5" customFormat="1" ht="12.75" customHeight="1">
      <c r="E48" s="20"/>
    </row>
    <row r="49" spans="4:5" ht="12.75" customHeight="1">
      <c r="E49" s="20"/>
    </row>
    <row r="50" spans="4:5" ht="12.75" customHeight="1">
      <c r="E50" s="4"/>
    </row>
    <row r="51" spans="4:5">
      <c r="E51" s="3"/>
    </row>
    <row r="63" spans="4:5">
      <c r="D63" s="3"/>
      <c r="E63" s="3"/>
    </row>
  </sheetData>
  <mergeCells count="4">
    <mergeCell ref="E4:F4"/>
    <mergeCell ref="D5:G5"/>
    <mergeCell ref="B13:H14"/>
    <mergeCell ref="B17:H17"/>
  </mergeCells>
  <dataValidations count="2">
    <dataValidation type="list" allowBlank="1" showInputMessage="1" showErrorMessage="1" sqref="G22" xr:uid="{00000000-0002-0000-1300-000000000000}">
      <formula1>allocation</formula1>
    </dataValidation>
    <dataValidation type="list" allowBlank="1" showInputMessage="1" showErrorMessage="1" sqref="E4" xr:uid="{00000000-0002-0000-1300-000001000000}">
      <formula1>enterprise</formula1>
    </dataValidation>
  </dataValidations>
  <pageMargins left="0.7" right="0.7" top="0.75" bottom="0.75" header="0.3" footer="0.3"/>
  <pageSetup scale="9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B2:IS64"/>
  <sheetViews>
    <sheetView topLeftCell="A3" workbookViewId="0">
      <selection activeCell="H33" sqref="H33"/>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E32</f>
        <v>600000</v>
      </c>
      <c r="K2" s="120">
        <f t="shared" ref="K2:M2" si="0">F32</f>
        <v>427841</v>
      </c>
      <c r="L2" s="120">
        <f t="shared" si="0"/>
        <v>572920</v>
      </c>
      <c r="M2" s="120">
        <f t="shared" si="0"/>
        <v>600000</v>
      </c>
    </row>
    <row r="3" spans="2:13" ht="14.1" customHeight="1">
      <c r="B3" s="40"/>
      <c r="C3" s="40"/>
      <c r="D3" s="40"/>
      <c r="E3" s="40"/>
      <c r="F3" s="40"/>
      <c r="G3" s="40"/>
      <c r="H3" s="40"/>
      <c r="J3" s="121">
        <f>C37</f>
        <v>0</v>
      </c>
      <c r="K3" s="121"/>
      <c r="L3" s="121"/>
      <c r="M3" s="121"/>
    </row>
    <row r="4" spans="2:13" ht="23.25" customHeight="1">
      <c r="B4" s="40"/>
      <c r="C4" s="40"/>
      <c r="D4" s="40"/>
      <c r="E4" s="316" t="s">
        <v>23</v>
      </c>
      <c r="F4" s="316"/>
      <c r="G4" s="41"/>
      <c r="H4" s="40"/>
      <c r="J4" s="121">
        <f t="shared" ref="J4:J6" si="1">C38</f>
        <v>0</v>
      </c>
    </row>
    <row r="5" spans="2:13" ht="14.1" customHeight="1">
      <c r="B5" s="42"/>
      <c r="C5" s="42"/>
      <c r="D5" s="312" t="str">
        <f>'Operating Budget'!B38</f>
        <v>Contract Trash Services</v>
      </c>
      <c r="E5" s="312"/>
      <c r="F5" s="312"/>
      <c r="G5" s="312"/>
      <c r="H5" s="43"/>
      <c r="J5" s="121">
        <f t="shared" si="1"/>
        <v>1</v>
      </c>
    </row>
    <row r="6" spans="2:13" ht="19.5" customHeight="1">
      <c r="B6" s="40"/>
      <c r="C6" s="40"/>
      <c r="D6" s="40"/>
      <c r="E6" s="40"/>
      <c r="H6" s="40"/>
      <c r="J6" s="121">
        <f t="shared" si="1"/>
        <v>0</v>
      </c>
    </row>
    <row r="7" spans="2:13" ht="14.1" hidden="1" customHeight="1">
      <c r="B7" s="40"/>
      <c r="C7" s="40"/>
      <c r="D7" s="40"/>
      <c r="E7" s="40"/>
      <c r="F7" s="44"/>
      <c r="G7" s="44"/>
      <c r="H7" s="40"/>
    </row>
    <row r="8" spans="2:13" ht="14.1" customHeight="1">
      <c r="B8" s="41" t="s">
        <v>2</v>
      </c>
      <c r="C8" s="40">
        <f>'Operating Budget'!C38</f>
        <v>4285</v>
      </c>
      <c r="D8" s="40"/>
      <c r="E8" s="40"/>
      <c r="F8" s="40"/>
      <c r="G8" s="40"/>
      <c r="H8" s="40"/>
    </row>
    <row r="9" spans="2:13" ht="14.1" customHeight="1">
      <c r="B9" s="41" t="s">
        <v>3</v>
      </c>
      <c r="C9" s="40">
        <f>INDEX('Operating Budget'!$A$11:$A$107,MATCH('15'!C8,'Operating Budget'!C11:C107))</f>
        <v>15</v>
      </c>
      <c r="D9" s="40"/>
      <c r="E9" s="40"/>
      <c r="F9" s="40"/>
      <c r="G9" s="202"/>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115</v>
      </c>
      <c r="C13" s="319"/>
      <c r="D13" s="319"/>
      <c r="E13" s="319"/>
      <c r="F13" s="319"/>
      <c r="G13" s="319"/>
      <c r="H13" s="319"/>
    </row>
    <row r="14" spans="2:13" ht="14.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8"/>
      <c r="C17" s="318"/>
      <c r="D17" s="318"/>
      <c r="E17" s="318"/>
      <c r="F17" s="318"/>
      <c r="G17" s="318"/>
      <c r="H17" s="318"/>
    </row>
    <row r="18" spans="2:13" ht="14.1" customHeight="1">
      <c r="B18" s="318"/>
      <c r="C18" s="318"/>
      <c r="D18" s="318"/>
      <c r="E18" s="318"/>
      <c r="F18" s="318"/>
      <c r="G18" s="318"/>
      <c r="H18" s="318"/>
    </row>
    <row r="19" spans="2:13" ht="14.1" customHeight="1">
      <c r="B19" s="310"/>
      <c r="C19" s="310"/>
      <c r="D19" s="310"/>
      <c r="E19" s="310"/>
      <c r="F19" s="310"/>
      <c r="G19" s="310"/>
      <c r="H19" s="310"/>
    </row>
    <row r="20" spans="2:13" s="5" customFormat="1" ht="14.1" customHeight="1">
      <c r="B20" s="36" t="s">
        <v>7</v>
      </c>
      <c r="C20" s="37"/>
      <c r="D20" s="37"/>
      <c r="E20" s="37"/>
      <c r="F20" s="37"/>
      <c r="G20" s="37"/>
      <c r="H20" s="38"/>
    </row>
    <row r="21" spans="2:13" s="5" customFormat="1" ht="14.1" customHeight="1">
      <c r="B21" s="40"/>
      <c r="C21" s="41"/>
      <c r="D21" s="40"/>
      <c r="E21" s="40"/>
      <c r="F21" s="40"/>
      <c r="G21" s="40"/>
      <c r="H21" s="40"/>
    </row>
    <row r="22" spans="2:13" s="5" customFormat="1" ht="14.1" customHeight="1">
      <c r="B22" s="67" t="str">
        <f>$D$5</f>
        <v>Contract Trash Services</v>
      </c>
      <c r="C22" s="67"/>
      <c r="D22" s="68" t="s">
        <v>29</v>
      </c>
      <c r="E22" s="68" t="s">
        <v>30</v>
      </c>
      <c r="F22" s="68" t="s">
        <v>10</v>
      </c>
      <c r="G22" s="69" t="s">
        <v>31</v>
      </c>
      <c r="H22" s="40"/>
      <c r="J22" s="73" t="s">
        <v>32</v>
      </c>
      <c r="K22" s="73" t="s">
        <v>33</v>
      </c>
      <c r="L22" s="73" t="s">
        <v>34</v>
      </c>
      <c r="M22" s="73" t="s">
        <v>35</v>
      </c>
    </row>
    <row r="23" spans="2:13" s="5" customFormat="1" ht="14.1" customHeight="1">
      <c r="B23" s="64" t="s">
        <v>116</v>
      </c>
      <c r="C23" s="57"/>
      <c r="D23" s="80">
        <v>12</v>
      </c>
      <c r="E23" s="66">
        <v>50000</v>
      </c>
      <c r="F23" s="66">
        <f>PRODUCT(E23,D23)</f>
        <v>600000</v>
      </c>
      <c r="G23" s="71" t="s">
        <v>117</v>
      </c>
      <c r="H23" s="40"/>
      <c r="J23" s="74">
        <f>INDEX(MASTER!$C$25:$F$42,MATCH($G23,allocation,0),MATCH(J$22,MASTER!$C$24:$F$24,0))</f>
        <v>0</v>
      </c>
      <c r="K23" s="74">
        <f>INDEX(MASTER!$C$25:$F$42,MATCH($G23,allocation,0),MATCH(K$22,MASTER!$C$24:$F$24,0))</f>
        <v>0</v>
      </c>
      <c r="L23" s="74">
        <f>INDEX(MASTER!$C$25:$F$42,MATCH($G23,allocation,0),MATCH(L$22,MASTER!$C$24:$F$24,0))</f>
        <v>1</v>
      </c>
      <c r="M23" s="74">
        <f>INDEX(MASTER!$C$25:$F$42,MATCH($G23,allocation,0),MATCH(M$22,MASTER!$C$24:$F$24,0))</f>
        <v>0</v>
      </c>
    </row>
    <row r="24" spans="2:13" s="5" customFormat="1" ht="14.1" customHeight="1" thickBot="1">
      <c r="B24" s="49" t="s">
        <v>10</v>
      </c>
      <c r="C24" s="49"/>
      <c r="D24" s="49"/>
      <c r="E24" s="49"/>
      <c r="F24" s="50">
        <f>SUM(F23:F23)</f>
        <v>600000</v>
      </c>
      <c r="G24" s="49"/>
      <c r="H24" s="40"/>
    </row>
    <row r="25" spans="2:13" s="5" customFormat="1" ht="14.1" customHeight="1" thickTop="1">
      <c r="B25" s="40"/>
      <c r="C25" s="41"/>
      <c r="G25" s="40"/>
      <c r="H25" s="40"/>
    </row>
    <row r="26" spans="2:13" s="5" customFormat="1" ht="14.1" customHeight="1">
      <c r="B26" s="41" t="s">
        <v>11</v>
      </c>
      <c r="C26" s="35">
        <f>ROUNDUP($F$24,-$B$27)</f>
        <v>600000</v>
      </c>
      <c r="F26" s="40"/>
      <c r="G26" s="40"/>
      <c r="H26" s="40"/>
    </row>
    <row r="27" spans="2:13" s="5" customFormat="1" ht="14.1" customHeight="1">
      <c r="B27" s="51">
        <v>3</v>
      </c>
      <c r="C27" s="41"/>
      <c r="D27" s="40"/>
      <c r="E27" s="40"/>
      <c r="F27" s="40"/>
      <c r="G27" s="40"/>
      <c r="H27" s="40"/>
    </row>
    <row r="28" spans="2:13" s="5" customFormat="1" ht="14.1" customHeight="1">
      <c r="B28" s="40"/>
      <c r="C28" s="41"/>
      <c r="D28" s="40"/>
      <c r="E28" s="40"/>
      <c r="F28" s="40"/>
      <c r="G28" s="40"/>
      <c r="H28" s="40"/>
    </row>
    <row r="29" spans="2:13" s="5" customFormat="1" ht="14.1" customHeight="1">
      <c r="B29" s="40"/>
      <c r="C29" s="41"/>
      <c r="D29" s="40"/>
      <c r="E29" s="53" t="s">
        <v>12</v>
      </c>
      <c r="F29" s="54" t="s">
        <v>13</v>
      </c>
      <c r="G29" s="54" t="s">
        <v>14</v>
      </c>
      <c r="H29" s="55" t="s">
        <v>15</v>
      </c>
    </row>
    <row r="30" spans="2:13" s="5" customFormat="1" ht="14.1" customHeight="1">
      <c r="B30" s="36"/>
      <c r="C30" s="36"/>
      <c r="D30" s="36"/>
      <c r="E30" s="53" t="str">
        <f>"FY "&amp;MASTER!$B$4-1&amp;" - "&amp;MASTER!$B$4</f>
        <v>FY 2020 - 2021</v>
      </c>
      <c r="F30" s="56">
        <f>MASTER!$B$6</f>
        <v>44255</v>
      </c>
      <c r="G30" s="54" t="str">
        <f>"June "&amp;MASTER!$B$4</f>
        <v>June 2021</v>
      </c>
      <c r="H30" s="55" t="str">
        <f>"FY "&amp;MASTER!$B$4&amp;" - "&amp;MASTER!$B$5</f>
        <v>FY 2021 - 2022</v>
      </c>
    </row>
    <row r="31" spans="2:13" s="5" customFormat="1" ht="14.1" customHeight="1">
      <c r="B31" s="57"/>
      <c r="C31" s="57"/>
      <c r="D31" s="58"/>
      <c r="E31" s="59"/>
      <c r="F31" s="60"/>
      <c r="G31" s="60"/>
      <c r="H31" s="58"/>
    </row>
    <row r="32" spans="2:13" s="5" customFormat="1" ht="14.1" customHeight="1">
      <c r="B32" s="40" t="str">
        <f>$D$5</f>
        <v>Contract Trash Services</v>
      </c>
      <c r="C32" s="41"/>
      <c r="D32" s="58"/>
      <c r="E32" s="61">
        <v>600000</v>
      </c>
      <c r="F32" s="62">
        <v>427841</v>
      </c>
      <c r="G32" s="62">
        <v>572920</v>
      </c>
      <c r="H32" s="63">
        <f>C26</f>
        <v>600000</v>
      </c>
    </row>
    <row r="33" spans="2:253" s="5" customFormat="1" ht="14.1" customHeight="1">
      <c r="B33" s="40"/>
      <c r="C33" s="41"/>
      <c r="D33" s="58"/>
      <c r="E33" s="59"/>
      <c r="F33" s="59"/>
      <c r="G33" s="58"/>
      <c r="H33" s="82"/>
    </row>
    <row r="34" spans="2:253" s="5" customFormat="1" ht="14.1" customHeight="1">
      <c r="B34" s="40"/>
      <c r="C34" s="41"/>
      <c r="D34" s="58"/>
      <c r="E34" s="58"/>
      <c r="F34" s="58"/>
      <c r="G34" s="58"/>
      <c r="H34" s="63"/>
    </row>
    <row r="35" spans="2:253" s="5" customFormat="1" ht="14.1" customHeight="1">
      <c r="B35" s="2"/>
      <c r="C35" s="1"/>
    </row>
    <row r="36" spans="2:253" s="5" customFormat="1" ht="14.1" customHeight="1">
      <c r="B36" s="36" t="s">
        <v>39</v>
      </c>
      <c r="C36" s="36"/>
      <c r="D36" s="55" t="s">
        <v>40</v>
      </c>
      <c r="E36" s="55" t="s">
        <v>41</v>
      </c>
    </row>
    <row r="37" spans="2:253" s="5" customFormat="1" ht="14.1" customHeight="1">
      <c r="B37" s="75" t="s">
        <v>32</v>
      </c>
      <c r="C37" s="84">
        <f>E37/E41</f>
        <v>0</v>
      </c>
      <c r="D37" s="78">
        <f>SUMPRODUCT($F$23:$F$23,$J$23:$J$23)</f>
        <v>0</v>
      </c>
      <c r="E37" s="78">
        <f>$D37+($C$26-SUM($D$37:$D$40))*($D37/$D$41)</f>
        <v>0</v>
      </c>
    </row>
    <row r="38" spans="2:253" s="5" customFormat="1" ht="14.1" customHeight="1">
      <c r="B38" s="75" t="s">
        <v>33</v>
      </c>
      <c r="C38" s="84">
        <f>E38/E41</f>
        <v>0</v>
      </c>
      <c r="D38" s="78">
        <f>SUMPRODUCT($F$23:$F$23,$K$23:$K$23)</f>
        <v>0</v>
      </c>
      <c r="E38" s="78">
        <f>$D38+($C$26-SUM($D$37:$D$40))*($D38/$D$41)</f>
        <v>0</v>
      </c>
    </row>
    <row r="39" spans="2:253" s="5" customFormat="1" ht="14.1" customHeight="1">
      <c r="B39" s="75" t="s">
        <v>34</v>
      </c>
      <c r="C39" s="84">
        <f>E39/E41</f>
        <v>1</v>
      </c>
      <c r="D39" s="78">
        <f>SUMPRODUCT($F$23:$F$23,$L$23:$L$23)</f>
        <v>600000</v>
      </c>
      <c r="E39" s="78">
        <f>$D39+($C$26-SUM($D$37:$D$40))*($D39/$D$41)</f>
        <v>600000</v>
      </c>
    </row>
    <row r="40" spans="2:253" s="5" customFormat="1" ht="14.1" customHeight="1">
      <c r="B40" s="75" t="s">
        <v>35</v>
      </c>
      <c r="C40" s="84">
        <f>E40/E41</f>
        <v>0</v>
      </c>
      <c r="D40" s="78">
        <f>SUMPRODUCT($F$23:$F$23,$M$23:$M$23)</f>
        <v>0</v>
      </c>
      <c r="E40" s="78">
        <f>$D40+($C$26-SUM($D$37:$D$40))*($D40/$D$41)</f>
        <v>0</v>
      </c>
    </row>
    <row r="41" spans="2:253" s="5" customFormat="1" ht="12.75" customHeight="1">
      <c r="B41" s="77" t="s">
        <v>10</v>
      </c>
      <c r="C41" s="85">
        <f>SUM(C37:C40)</f>
        <v>1</v>
      </c>
      <c r="D41" s="79">
        <f>SUM(D37:D40)</f>
        <v>600000</v>
      </c>
      <c r="E41" s="79">
        <f>SUM(E37:E40)</f>
        <v>600000</v>
      </c>
    </row>
    <row r="42" spans="2:253" s="5" customFormat="1" ht="12.75" customHeight="1">
      <c r="B42" s="2"/>
      <c r="C42" s="2"/>
      <c r="D42" s="2"/>
      <c r="E42" s="76"/>
    </row>
    <row r="43" spans="2:253" s="5" customFormat="1" ht="12.75" customHeight="1">
      <c r="E43" s="20"/>
      <c r="F43" s="6"/>
    </row>
    <row r="44" spans="2:253" s="5" customFormat="1" ht="12.75" customHeight="1">
      <c r="E44" s="20"/>
    </row>
    <row r="45" spans="2:253" s="5" customFormat="1" ht="12.75" customHeight="1">
      <c r="D45" s="21"/>
      <c r="E45" s="20"/>
    </row>
    <row r="46" spans="2:253" s="5" customFormat="1" ht="12.75" customHeight="1">
      <c r="D46" s="21"/>
      <c r="E46" s="20"/>
    </row>
    <row r="47" spans="2:253" s="5" customFormat="1" ht="12.75" customHeight="1">
      <c r="E47" s="20"/>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row>
    <row r="48" spans="2:253" s="5" customFormat="1" ht="12.75" customHeight="1">
      <c r="D48" s="21"/>
      <c r="E48" s="20"/>
    </row>
    <row r="49" spans="4:5" s="5" customFormat="1" ht="12.75" customHeight="1">
      <c r="E49" s="20"/>
    </row>
    <row r="50" spans="4:5" ht="12.75" customHeight="1">
      <c r="E50" s="20"/>
    </row>
    <row r="51" spans="4:5" ht="12.75" customHeight="1">
      <c r="E51" s="4"/>
    </row>
    <row r="52" spans="4:5">
      <c r="E52" s="3"/>
    </row>
    <row r="64" spans="4:5">
      <c r="D64" s="3"/>
      <c r="E64" s="3"/>
    </row>
  </sheetData>
  <mergeCells count="4">
    <mergeCell ref="E4:F4"/>
    <mergeCell ref="D5:G5"/>
    <mergeCell ref="B13:H14"/>
    <mergeCell ref="B17:H18"/>
  </mergeCells>
  <dataValidations count="2">
    <dataValidation type="list" allowBlank="1" showInputMessage="1" showErrorMessage="1" sqref="E4" xr:uid="{00000000-0002-0000-1400-000000000000}">
      <formula1>enterprise</formula1>
    </dataValidation>
    <dataValidation type="list" allowBlank="1" showInputMessage="1" showErrorMessage="1" sqref="G23" xr:uid="{00000000-0002-0000-1400-000001000000}">
      <formula1>allocation</formula1>
    </dataValidation>
  </dataValidations>
  <pageMargins left="0.7" right="0.7" top="0.75" bottom="0.75" header="0.3" footer="0.3"/>
  <pageSetup scale="9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B2:IS65"/>
  <sheetViews>
    <sheetView workbookViewId="0">
      <selection activeCell="G35" sqref="G35"/>
    </sheetView>
  </sheetViews>
  <sheetFormatPr defaultColWidth="8.85546875" defaultRowHeight="12.75"/>
  <cols>
    <col min="2" max="2" width="15.140625" customWidth="1"/>
    <col min="3" max="8" width="13.7109375" customWidth="1"/>
  </cols>
  <sheetData>
    <row r="2" spans="2:14" ht="14.1" customHeight="1">
      <c r="B2" s="36" t="str">
        <f>"FY "&amp;MASTER!$B$4&amp;" - "&amp;MASTER!$B$5&amp;" OPERATING BUDGET"</f>
        <v>FY 2021 - 2022 OPERATING BUDGET</v>
      </c>
      <c r="C2" s="37"/>
      <c r="D2" s="37"/>
      <c r="E2" s="37"/>
      <c r="F2" s="37"/>
      <c r="G2" s="37"/>
      <c r="H2" s="39" t="s">
        <v>0</v>
      </c>
      <c r="J2" s="120">
        <f>E34</f>
        <v>15000</v>
      </c>
      <c r="K2" s="120">
        <f t="shared" ref="K2:M2" si="0">F34</f>
        <v>7152</v>
      </c>
      <c r="L2" s="120">
        <f t="shared" si="0"/>
        <v>10000</v>
      </c>
      <c r="M2" s="120">
        <f t="shared" si="0"/>
        <v>15000</v>
      </c>
      <c r="N2" s="120"/>
    </row>
    <row r="3" spans="2:14" ht="14.1" customHeight="1">
      <c r="B3" s="40"/>
      <c r="C3" s="40"/>
      <c r="D3" s="40"/>
      <c r="E3" s="40"/>
      <c r="F3" s="40"/>
      <c r="G3" s="40"/>
      <c r="H3" s="40"/>
      <c r="J3" s="121">
        <f>C38</f>
        <v>0.43</v>
      </c>
      <c r="K3" s="121"/>
      <c r="L3" s="121"/>
      <c r="M3" s="121"/>
    </row>
    <row r="4" spans="2:14" ht="23.25" customHeight="1">
      <c r="B4" s="40"/>
      <c r="C4" s="40"/>
      <c r="D4" s="40"/>
      <c r="E4" s="316" t="s">
        <v>118</v>
      </c>
      <c r="F4" s="316"/>
      <c r="G4" s="41"/>
      <c r="H4" s="40"/>
      <c r="J4" s="121">
        <f t="shared" ref="J4:J6" si="1">C39</f>
        <v>0.41</v>
      </c>
    </row>
    <row r="5" spans="2:14" ht="14.1" customHeight="1">
      <c r="B5" s="42"/>
      <c r="C5" s="42"/>
      <c r="D5" s="312" t="str">
        <f>'Operating Budget'!B42</f>
        <v>Gasoline</v>
      </c>
      <c r="E5" s="312"/>
      <c r="F5" s="312"/>
      <c r="G5" s="312"/>
      <c r="H5" s="43"/>
      <c r="J5" s="121">
        <f t="shared" si="1"/>
        <v>0.14000000000000001</v>
      </c>
    </row>
    <row r="6" spans="2:14" ht="19.5" customHeight="1">
      <c r="B6" s="40"/>
      <c r="C6" s="40"/>
      <c r="D6" s="40"/>
      <c r="E6" s="40"/>
      <c r="H6" s="40"/>
      <c r="J6" s="121">
        <f t="shared" si="1"/>
        <v>0.02</v>
      </c>
    </row>
    <row r="7" spans="2:14" ht="14.1" hidden="1" customHeight="1">
      <c r="B7" s="40"/>
      <c r="C7" s="40"/>
      <c r="D7" s="40"/>
      <c r="E7" s="40"/>
      <c r="F7" s="44"/>
      <c r="G7" s="44"/>
      <c r="H7" s="40"/>
    </row>
    <row r="8" spans="2:14" ht="14.1" customHeight="1">
      <c r="B8" s="41" t="s">
        <v>2</v>
      </c>
      <c r="C8" s="40">
        <f>'Operating Budget'!C42</f>
        <v>4310</v>
      </c>
      <c r="D8" s="40"/>
      <c r="E8" s="40"/>
      <c r="F8" s="40"/>
      <c r="G8" s="202"/>
      <c r="H8" s="40"/>
    </row>
    <row r="9" spans="2:14" ht="14.1" customHeight="1">
      <c r="B9" s="41" t="s">
        <v>3</v>
      </c>
      <c r="C9" s="40">
        <f>INDEX('Operating Budget'!$A$11:$A$107,MATCH('16'!C8,'Operating Budget'!C11:C107))</f>
        <v>16</v>
      </c>
      <c r="D9" s="40"/>
      <c r="E9" s="40"/>
      <c r="F9" s="40"/>
      <c r="G9" s="40"/>
      <c r="H9" s="40"/>
    </row>
    <row r="10" spans="2:14" ht="14.1" customHeight="1">
      <c r="B10" s="40"/>
      <c r="C10" s="40"/>
      <c r="D10" s="40"/>
      <c r="E10" s="40"/>
      <c r="F10" s="40"/>
      <c r="G10" s="40"/>
      <c r="H10" s="40"/>
    </row>
    <row r="11" spans="2:14" ht="14.1" hidden="1" customHeight="1">
      <c r="B11" s="40"/>
      <c r="C11" s="40"/>
      <c r="D11" s="40"/>
      <c r="E11" s="40"/>
      <c r="F11" s="40"/>
      <c r="G11" s="40"/>
      <c r="H11" s="40"/>
    </row>
    <row r="12" spans="2:14" ht="14.1" customHeight="1">
      <c r="B12" s="41" t="s">
        <v>4</v>
      </c>
      <c r="C12" s="40"/>
      <c r="D12" s="40"/>
      <c r="E12" s="40"/>
      <c r="F12" s="40"/>
      <c r="G12" s="40"/>
      <c r="H12" s="40"/>
    </row>
    <row r="13" spans="2:14" ht="14.1" customHeight="1">
      <c r="B13" s="319" t="s">
        <v>119</v>
      </c>
      <c r="C13" s="319"/>
      <c r="D13" s="319"/>
      <c r="E13" s="319"/>
      <c r="F13" s="319"/>
      <c r="G13" s="319"/>
      <c r="H13" s="319"/>
    </row>
    <row r="14" spans="2:14" ht="14.1" customHeight="1">
      <c r="B14" s="319"/>
      <c r="C14" s="319"/>
      <c r="D14" s="319"/>
      <c r="E14" s="319"/>
      <c r="F14" s="319"/>
      <c r="G14" s="319"/>
      <c r="H14" s="319"/>
    </row>
    <row r="15" spans="2:14" ht="14.1" hidden="1" customHeight="1">
      <c r="B15" s="319"/>
      <c r="C15" s="319"/>
      <c r="D15" s="319"/>
      <c r="E15" s="319"/>
      <c r="F15" s="319"/>
      <c r="G15" s="319"/>
      <c r="H15" s="319"/>
    </row>
    <row r="16" spans="2:14" ht="14.1" customHeight="1">
      <c r="B16" s="45"/>
      <c r="C16" s="45"/>
      <c r="D16" s="45"/>
      <c r="E16" s="45"/>
      <c r="F16" s="45"/>
      <c r="G16" s="45"/>
      <c r="H16" s="45"/>
    </row>
    <row r="17" spans="2:13" ht="14.1" customHeight="1">
      <c r="B17" s="41" t="str">
        <f>"Changes for FY "&amp;MASTER!$B$4&amp;" - "&amp;MASTER!$B$5&amp;":"</f>
        <v>Changes for FY 2021 - 2022:</v>
      </c>
      <c r="C17" s="45"/>
      <c r="D17" s="45"/>
      <c r="E17" s="45"/>
      <c r="F17" s="45"/>
      <c r="G17" s="45"/>
      <c r="H17" s="45"/>
    </row>
    <row r="18" spans="2:13" ht="14.1" customHeight="1">
      <c r="B18" s="319" t="s">
        <v>120</v>
      </c>
      <c r="C18" s="319"/>
      <c r="D18" s="319"/>
      <c r="E18" s="319"/>
      <c r="F18" s="319"/>
      <c r="G18" s="319"/>
      <c r="H18" s="319"/>
    </row>
    <row r="19" spans="2:13" ht="14.1" customHeight="1">
      <c r="B19" s="319"/>
      <c r="C19" s="319"/>
      <c r="D19" s="319"/>
      <c r="E19" s="319"/>
      <c r="F19" s="319"/>
      <c r="G19" s="319"/>
      <c r="H19" s="319"/>
    </row>
    <row r="20" spans="2:13" ht="14.1" hidden="1" customHeight="1">
      <c r="B20" s="319"/>
      <c r="C20" s="319"/>
      <c r="D20" s="319"/>
      <c r="E20" s="319"/>
      <c r="F20" s="319"/>
      <c r="G20" s="319"/>
      <c r="H20" s="319"/>
    </row>
    <row r="21" spans="2:13" ht="14.1" customHeight="1">
      <c r="B21" s="310"/>
      <c r="C21" s="310"/>
      <c r="D21" s="310"/>
      <c r="E21" s="310"/>
      <c r="F21" s="310"/>
      <c r="G21" s="310"/>
      <c r="H21" s="310"/>
    </row>
    <row r="22" spans="2:13" s="5" customFormat="1" ht="14.1" customHeight="1">
      <c r="B22" s="36" t="s">
        <v>7</v>
      </c>
      <c r="C22" s="37"/>
      <c r="D22" s="37"/>
      <c r="E22" s="37"/>
      <c r="F22" s="37"/>
      <c r="G22" s="37"/>
      <c r="H22" s="38"/>
    </row>
    <row r="23" spans="2:13" s="5" customFormat="1" ht="14.1" customHeight="1">
      <c r="B23" s="40"/>
      <c r="C23" s="41"/>
      <c r="D23" s="40"/>
      <c r="E23" s="40"/>
      <c r="F23" s="40"/>
      <c r="G23" s="40"/>
      <c r="H23" s="40"/>
    </row>
    <row r="24" spans="2:13" s="5" customFormat="1" ht="14.1" customHeight="1">
      <c r="B24" s="67" t="str">
        <f>$D$5</f>
        <v>Gasoline</v>
      </c>
      <c r="C24" s="67"/>
      <c r="D24" s="68"/>
      <c r="E24" s="68"/>
      <c r="F24" s="68" t="s">
        <v>10</v>
      </c>
      <c r="G24" s="69" t="s">
        <v>31</v>
      </c>
      <c r="H24" s="40"/>
      <c r="J24" s="73" t="s">
        <v>32</v>
      </c>
      <c r="K24" s="73" t="s">
        <v>33</v>
      </c>
      <c r="L24" s="73" t="s">
        <v>34</v>
      </c>
      <c r="M24" s="73" t="s">
        <v>35</v>
      </c>
    </row>
    <row r="25" spans="2:13" s="5" customFormat="1" ht="14.1" customHeight="1">
      <c r="B25" s="64" t="s">
        <v>121</v>
      </c>
      <c r="C25" s="57"/>
      <c r="D25" s="80"/>
      <c r="E25" s="66"/>
      <c r="F25" s="66">
        <v>15000</v>
      </c>
      <c r="G25" s="71" t="s">
        <v>122</v>
      </c>
      <c r="H25" s="40"/>
      <c r="J25" s="74">
        <f>INDEX(MASTER!$C$25:$F$42,MATCH($G25,allocation,0),MATCH(J$24,MASTER!$C$24:$F$24,0))</f>
        <v>0.43</v>
      </c>
      <c r="K25" s="74">
        <f>INDEX(MASTER!$C$25:$F$42,MATCH($G25,allocation,0),MATCH(K$24,MASTER!$C$24:$F$24,0))</f>
        <v>0.41</v>
      </c>
      <c r="L25" s="74">
        <f>INDEX(MASTER!$C$25:$F$42,MATCH($G25,allocation,0),MATCH(L$24,MASTER!$C$24:$F$24,0))</f>
        <v>0.14000000000000001</v>
      </c>
      <c r="M25" s="74">
        <f>INDEX(MASTER!$C$25:$F$42,MATCH($G25,allocation,0),MATCH(M$24,MASTER!$C$24:$F$24,0))</f>
        <v>0.02</v>
      </c>
    </row>
    <row r="26" spans="2:13" s="5" customFormat="1" ht="14.1" customHeight="1" thickBot="1">
      <c r="B26" s="49" t="s">
        <v>10</v>
      </c>
      <c r="C26" s="49"/>
      <c r="D26" s="49"/>
      <c r="E26" s="49"/>
      <c r="F26" s="50">
        <f>SUM(F25:F25)</f>
        <v>15000</v>
      </c>
      <c r="G26" s="49"/>
      <c r="H26" s="40"/>
    </row>
    <row r="27" spans="2:13" s="5" customFormat="1" ht="14.1" customHeight="1" thickTop="1">
      <c r="B27" s="40"/>
      <c r="C27" s="41"/>
      <c r="G27" s="40"/>
      <c r="H27" s="40"/>
    </row>
    <row r="28" spans="2:13" s="5" customFormat="1" ht="14.1" customHeight="1">
      <c r="B28" s="41" t="s">
        <v>11</v>
      </c>
      <c r="C28" s="35">
        <f>ROUNDUP($F$26,-$B$29)</f>
        <v>15000</v>
      </c>
      <c r="F28" s="40"/>
      <c r="G28" s="40"/>
      <c r="H28" s="40"/>
    </row>
    <row r="29" spans="2:13" s="5" customFormat="1" ht="14.1" customHeight="1">
      <c r="B29" s="51">
        <v>3</v>
      </c>
      <c r="C29" s="41"/>
      <c r="D29" s="40"/>
      <c r="E29" s="40"/>
      <c r="F29" s="40"/>
      <c r="G29" s="40"/>
      <c r="H29" s="40"/>
    </row>
    <row r="30" spans="2:13" s="5" customFormat="1" ht="14.1" customHeight="1">
      <c r="B30" s="40"/>
      <c r="C30" s="41"/>
      <c r="D30" s="40"/>
      <c r="E30" s="40"/>
      <c r="F30" s="40"/>
      <c r="G30" s="40"/>
      <c r="H30" s="40"/>
    </row>
    <row r="31" spans="2:13" s="5" customFormat="1" ht="14.1" customHeight="1">
      <c r="B31" s="40"/>
      <c r="C31" s="41"/>
      <c r="D31" s="40"/>
      <c r="E31" s="53" t="s">
        <v>12</v>
      </c>
      <c r="F31" s="54" t="s">
        <v>13</v>
      </c>
      <c r="G31" s="54" t="s">
        <v>14</v>
      </c>
      <c r="H31" s="55" t="s">
        <v>15</v>
      </c>
    </row>
    <row r="32" spans="2:13" s="5" customFormat="1" ht="14.1" customHeight="1">
      <c r="B32" s="36"/>
      <c r="C32" s="36"/>
      <c r="D32" s="36"/>
      <c r="E32" s="53" t="str">
        <f>"FY "&amp;MASTER!$B$4-1&amp;" - "&amp;MASTER!$B$4</f>
        <v>FY 2020 - 2021</v>
      </c>
      <c r="F32" s="56">
        <f>MASTER!$B$6</f>
        <v>44255</v>
      </c>
      <c r="G32" s="54" t="str">
        <f>"June "&amp;MASTER!$B$4</f>
        <v>June 2021</v>
      </c>
      <c r="H32" s="55" t="str">
        <f>"FY "&amp;MASTER!$B$4&amp;" - "&amp;MASTER!$B$5</f>
        <v>FY 2021 - 2022</v>
      </c>
    </row>
    <row r="33" spans="2:253" s="5" customFormat="1" ht="14.1" customHeight="1">
      <c r="B33" s="57"/>
      <c r="C33" s="57"/>
      <c r="D33" s="58"/>
      <c r="E33" s="59"/>
      <c r="F33" s="60"/>
      <c r="G33" s="60"/>
      <c r="H33" s="58"/>
    </row>
    <row r="34" spans="2:253" s="5" customFormat="1" ht="14.1" customHeight="1">
      <c r="B34" s="40" t="str">
        <f>$D$5</f>
        <v>Gasoline</v>
      </c>
      <c r="C34" s="41"/>
      <c r="D34" s="58"/>
      <c r="E34" s="61">
        <v>15000</v>
      </c>
      <c r="F34" s="62">
        <v>7152</v>
      </c>
      <c r="G34" s="62">
        <v>10000</v>
      </c>
      <c r="H34" s="63">
        <f>C28</f>
        <v>15000</v>
      </c>
    </row>
    <row r="35" spans="2:253" s="5" customFormat="1" ht="14.1" customHeight="1">
      <c r="B35" s="40"/>
      <c r="C35" s="41"/>
      <c r="D35" s="58"/>
      <c r="E35" s="59"/>
      <c r="F35" s="59"/>
      <c r="G35" s="58"/>
      <c r="H35" s="82"/>
    </row>
    <row r="36" spans="2:253" s="5" customFormat="1" ht="14.1" customHeight="1">
      <c r="B36" s="2"/>
      <c r="C36" s="1"/>
    </row>
    <row r="37" spans="2:253" s="5" customFormat="1" ht="14.1" customHeight="1">
      <c r="B37" s="36" t="s">
        <v>39</v>
      </c>
      <c r="C37" s="36"/>
      <c r="D37" s="55" t="s">
        <v>40</v>
      </c>
      <c r="E37" s="55" t="s">
        <v>41</v>
      </c>
    </row>
    <row r="38" spans="2:253" s="5" customFormat="1" ht="14.1" customHeight="1">
      <c r="B38" s="75" t="s">
        <v>32</v>
      </c>
      <c r="C38" s="84">
        <f>E38/E42</f>
        <v>0.43</v>
      </c>
      <c r="D38" s="78">
        <f>SUMPRODUCT($F$25:$F$25,$J$25:$J$25)</f>
        <v>6450</v>
      </c>
      <c r="E38" s="78">
        <f>$D38+($C$28-SUM($D$38:$D$41))*($D38/$D$42)</f>
        <v>6450</v>
      </c>
    </row>
    <row r="39" spans="2:253" s="5" customFormat="1" ht="14.1" customHeight="1">
      <c r="B39" s="75" t="s">
        <v>33</v>
      </c>
      <c r="C39" s="84">
        <f>E39/E42</f>
        <v>0.41</v>
      </c>
      <c r="D39" s="78">
        <f>SUMPRODUCT($F$25:$F$25,$K$25:$K$25)</f>
        <v>6150</v>
      </c>
      <c r="E39" s="78">
        <f>$D39+($C$28-SUM($D$38:$D$41))*($D39/$D$42)</f>
        <v>6150</v>
      </c>
    </row>
    <row r="40" spans="2:253" s="5" customFormat="1" ht="14.1" customHeight="1">
      <c r="B40" s="75" t="s">
        <v>34</v>
      </c>
      <c r="C40" s="84">
        <f>E40/E42</f>
        <v>0.14000000000000001</v>
      </c>
      <c r="D40" s="78">
        <f>SUMPRODUCT($F$25:$F$25,$L$25:$L$25)</f>
        <v>2100</v>
      </c>
      <c r="E40" s="78">
        <f>$D40+($C$28-SUM($D$38:$D$41))*($D40/$D$42)</f>
        <v>2100</v>
      </c>
    </row>
    <row r="41" spans="2:253" s="5" customFormat="1" ht="14.1" customHeight="1">
      <c r="B41" s="75" t="s">
        <v>35</v>
      </c>
      <c r="C41" s="84">
        <f>E41/E42</f>
        <v>0.02</v>
      </c>
      <c r="D41" s="78">
        <f>SUMPRODUCT($F$25:$F$25,$M$25:$M$25)</f>
        <v>300</v>
      </c>
      <c r="E41" s="78">
        <f>$D41+($C$28-SUM($D$38:$D$41))*($D41/$D$42)</f>
        <v>300</v>
      </c>
    </row>
    <row r="42" spans="2:253" s="5" customFormat="1" ht="12.75" customHeight="1">
      <c r="B42" s="77" t="s">
        <v>10</v>
      </c>
      <c r="C42" s="85">
        <f>SUM(C38:C41)</f>
        <v>1</v>
      </c>
      <c r="D42" s="79">
        <f>SUM(D38:D41)</f>
        <v>15000</v>
      </c>
      <c r="E42" s="79">
        <f>SUM(E38:E41)</f>
        <v>15000</v>
      </c>
    </row>
    <row r="43" spans="2:253" s="5" customFormat="1" ht="12.75" customHeight="1">
      <c r="B43" s="2"/>
      <c r="C43" s="2"/>
      <c r="D43" s="2"/>
      <c r="E43" s="76"/>
    </row>
    <row r="44" spans="2:253" s="5" customFormat="1" ht="12.75" customHeight="1">
      <c r="E44" s="20"/>
      <c r="F44" s="6"/>
    </row>
    <row r="45" spans="2:253" s="5" customFormat="1" ht="12.75" customHeight="1">
      <c r="E45" s="20"/>
    </row>
    <row r="46" spans="2:253" s="5" customFormat="1" ht="12.75" customHeight="1">
      <c r="D46" s="21"/>
      <c r="E46" s="20"/>
    </row>
    <row r="47" spans="2:253" s="5" customFormat="1" ht="12.75" customHeight="1">
      <c r="D47" s="21"/>
      <c r="E47" s="20"/>
    </row>
    <row r="48" spans="2:253" s="5" customFormat="1" ht="12.75" customHeight="1">
      <c r="E48" s="20"/>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row>
    <row r="49" spans="4:5" s="5" customFormat="1" ht="12.75" customHeight="1">
      <c r="D49" s="21"/>
      <c r="E49" s="20"/>
    </row>
    <row r="50" spans="4:5" s="5" customFormat="1" ht="12.75" customHeight="1">
      <c r="E50" s="20"/>
    </row>
    <row r="51" spans="4:5" ht="12.75" customHeight="1">
      <c r="E51" s="20"/>
    </row>
    <row r="52" spans="4:5" ht="12.75" customHeight="1">
      <c r="E52" s="4"/>
    </row>
    <row r="53" spans="4:5">
      <c r="E53" s="3"/>
    </row>
    <row r="65" spans="4:5">
      <c r="D65" s="3"/>
      <c r="E65" s="3"/>
    </row>
  </sheetData>
  <mergeCells count="4">
    <mergeCell ref="E4:F4"/>
    <mergeCell ref="D5:G5"/>
    <mergeCell ref="B13:H15"/>
    <mergeCell ref="B18:H20"/>
  </mergeCells>
  <dataValidations count="2">
    <dataValidation type="list" allowBlank="1" showInputMessage="1" showErrorMessage="1" sqref="G25" xr:uid="{00000000-0002-0000-1500-000000000000}">
      <formula1>allocation</formula1>
    </dataValidation>
    <dataValidation type="list" allowBlank="1" showInputMessage="1" showErrorMessage="1" sqref="E4" xr:uid="{00000000-0002-0000-1500-000001000000}">
      <formula1>enterprise</formula1>
    </dataValidation>
  </dataValidations>
  <pageMargins left="0.7" right="0.7" top="0.75" bottom="0.75" header="0.3" footer="0.3"/>
  <pageSetup scale="9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B2:IS64"/>
  <sheetViews>
    <sheetView workbookViewId="0">
      <selection activeCell="H34" sqref="H34"/>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E33</f>
        <v>12000</v>
      </c>
      <c r="K2" s="120">
        <f t="shared" ref="K2:M2" si="0">F33</f>
        <v>4215</v>
      </c>
      <c r="L2" s="120">
        <f t="shared" si="0"/>
        <v>11000</v>
      </c>
      <c r="M2" s="120">
        <f t="shared" si="0"/>
        <v>12000</v>
      </c>
    </row>
    <row r="3" spans="2:13" ht="14.1" customHeight="1">
      <c r="B3" s="40"/>
      <c r="C3" s="40"/>
      <c r="D3" s="40"/>
      <c r="E3" s="40"/>
      <c r="F3" s="40"/>
      <c r="G3" s="40"/>
      <c r="H3" s="40"/>
      <c r="J3" s="121">
        <f>C37</f>
        <v>0.43</v>
      </c>
      <c r="K3" s="121"/>
      <c r="L3" s="121"/>
      <c r="M3" s="121"/>
    </row>
    <row r="4" spans="2:13" ht="23.25" customHeight="1">
      <c r="B4" s="40"/>
      <c r="C4" s="40"/>
      <c r="D4" s="40"/>
      <c r="E4" s="316" t="s">
        <v>118</v>
      </c>
      <c r="F4" s="316"/>
      <c r="G4" s="41"/>
      <c r="H4" s="40"/>
      <c r="J4" s="121">
        <f t="shared" ref="J4:J6" si="1">C38</f>
        <v>0.41</v>
      </c>
    </row>
    <row r="5" spans="2:13" ht="14.1" customHeight="1">
      <c r="B5" s="42"/>
      <c r="C5" s="42"/>
      <c r="D5" s="312" t="str">
        <f>'Operating Budget'!B43</f>
        <v>Vehicle Maintenance</v>
      </c>
      <c r="E5" s="312"/>
      <c r="F5" s="312"/>
      <c r="G5" s="312"/>
      <c r="H5" s="43"/>
      <c r="J5" s="121">
        <f t="shared" si="1"/>
        <v>0.14000000000000001</v>
      </c>
    </row>
    <row r="6" spans="2:13" ht="19.5" customHeight="1">
      <c r="B6" s="40"/>
      <c r="C6" s="40"/>
      <c r="D6" s="40"/>
      <c r="E6" s="40"/>
      <c r="H6" s="40"/>
      <c r="J6" s="121">
        <f t="shared" si="1"/>
        <v>0.02</v>
      </c>
    </row>
    <row r="7" spans="2:13" ht="14.1" hidden="1" customHeight="1">
      <c r="B7" s="40"/>
      <c r="C7" s="40"/>
      <c r="D7" s="40"/>
      <c r="E7" s="40"/>
      <c r="F7" s="44"/>
      <c r="G7" s="44"/>
      <c r="H7" s="40"/>
    </row>
    <row r="8" spans="2:13" ht="14.1" customHeight="1">
      <c r="B8" s="41" t="s">
        <v>2</v>
      </c>
      <c r="C8" s="40">
        <f>'Operating Budget'!C43</f>
        <v>4320</v>
      </c>
      <c r="D8" s="40"/>
      <c r="E8" s="40"/>
      <c r="F8" s="202"/>
      <c r="G8" s="40"/>
      <c r="H8" s="40"/>
    </row>
    <row r="9" spans="2:13" ht="14.1" customHeight="1">
      <c r="B9" s="41" t="s">
        <v>3</v>
      </c>
      <c r="C9" s="40">
        <f>INDEX('Operating Budget'!$A$11:$A$107,MATCH('17'!C8,'Operating Budget'!C11:C107))</f>
        <v>17</v>
      </c>
      <c r="D9" s="40"/>
      <c r="E9" s="40"/>
      <c r="F9" s="40"/>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123</v>
      </c>
      <c r="C13" s="319"/>
      <c r="D13" s="319"/>
      <c r="E13" s="319"/>
      <c r="F13" s="319"/>
      <c r="G13" s="319"/>
      <c r="H13" s="319"/>
    </row>
    <row r="14" spans="2:13" ht="14.1" customHeight="1">
      <c r="B14" s="319"/>
      <c r="C14" s="319"/>
      <c r="D14" s="319"/>
      <c r="E14" s="319"/>
      <c r="F14" s="319"/>
      <c r="G14" s="319"/>
      <c r="H14" s="319"/>
    </row>
    <row r="15" spans="2:13" ht="14.1" hidden="1" customHeight="1">
      <c r="B15" s="319"/>
      <c r="C15" s="319"/>
      <c r="D15" s="319"/>
      <c r="E15" s="319"/>
      <c r="F15" s="319"/>
      <c r="G15" s="319"/>
      <c r="H15" s="319"/>
    </row>
    <row r="16" spans="2:13" ht="14.1" customHeight="1">
      <c r="B16" s="45"/>
      <c r="C16" s="45"/>
      <c r="D16" s="45"/>
      <c r="E16" s="45"/>
      <c r="F16" s="45"/>
      <c r="G16" s="45"/>
      <c r="H16" s="45"/>
    </row>
    <row r="17" spans="2:13" ht="14.1" customHeight="1">
      <c r="B17" s="41" t="str">
        <f>"Changes for FY "&amp;MASTER!$B$4&amp;" - "&amp;MASTER!$B$5&amp;":"</f>
        <v>Changes for FY 2021 - 2022:</v>
      </c>
      <c r="C17" s="45"/>
      <c r="D17" s="45"/>
      <c r="E17" s="45"/>
      <c r="F17" s="45"/>
      <c r="G17" s="45"/>
      <c r="H17" s="45"/>
    </row>
    <row r="18" spans="2:13" ht="14.1" customHeight="1">
      <c r="B18" s="319" t="s">
        <v>124</v>
      </c>
      <c r="C18" s="319"/>
      <c r="D18" s="319"/>
      <c r="E18" s="319"/>
      <c r="F18" s="319"/>
      <c r="G18" s="319"/>
      <c r="H18" s="319"/>
    </row>
    <row r="19" spans="2:13" ht="14.1" customHeight="1">
      <c r="B19" s="319"/>
      <c r="C19" s="319"/>
      <c r="D19" s="319"/>
      <c r="E19" s="319"/>
      <c r="F19" s="319"/>
      <c r="G19" s="319"/>
      <c r="H19" s="319"/>
    </row>
    <row r="20" spans="2:13" ht="14.1" customHeight="1">
      <c r="B20" s="310"/>
      <c r="C20" s="310"/>
      <c r="D20" s="310"/>
      <c r="E20" s="310"/>
      <c r="F20" s="310"/>
      <c r="G20" s="310"/>
      <c r="H20" s="310"/>
    </row>
    <row r="21" spans="2:13" s="5" customFormat="1" ht="14.1" customHeight="1">
      <c r="B21" s="36" t="s">
        <v>7</v>
      </c>
      <c r="C21" s="37"/>
      <c r="D21" s="37"/>
      <c r="E21" s="37"/>
      <c r="F21" s="37"/>
      <c r="G21" s="37"/>
      <c r="H21" s="38"/>
    </row>
    <row r="22" spans="2:13" s="5" customFormat="1" ht="14.1" customHeight="1">
      <c r="B22" s="40"/>
      <c r="C22" s="41"/>
      <c r="D22" s="40"/>
      <c r="E22" s="40"/>
      <c r="F22" s="40"/>
      <c r="G22" s="40"/>
      <c r="H22" s="40"/>
    </row>
    <row r="23" spans="2:13" s="5" customFormat="1" ht="14.1" customHeight="1">
      <c r="B23" s="67" t="str">
        <f>$D$5</f>
        <v>Vehicle Maintenance</v>
      </c>
      <c r="C23" s="67"/>
      <c r="D23" s="68"/>
      <c r="E23" s="68"/>
      <c r="F23" s="68" t="s">
        <v>10</v>
      </c>
      <c r="G23" s="69" t="s">
        <v>31</v>
      </c>
      <c r="H23" s="40"/>
      <c r="J23" s="73" t="s">
        <v>32</v>
      </c>
      <c r="K23" s="73" t="s">
        <v>33</v>
      </c>
      <c r="L23" s="73" t="s">
        <v>34</v>
      </c>
      <c r="M23" s="73" t="s">
        <v>35</v>
      </c>
    </row>
    <row r="24" spans="2:13" s="5" customFormat="1" ht="14.1" customHeight="1">
      <c r="B24" s="64" t="s">
        <v>125</v>
      </c>
      <c r="C24" s="57"/>
      <c r="D24" s="80"/>
      <c r="E24" s="66"/>
      <c r="F24" s="66">
        <v>12000</v>
      </c>
      <c r="G24" s="71" t="s">
        <v>122</v>
      </c>
      <c r="H24" s="40"/>
      <c r="J24" s="74">
        <f>INDEX(MASTER!$C$25:$F$42,MATCH($G24,allocation,0),MATCH(J$23,MASTER!$C$24:$F$24,0))</f>
        <v>0.43</v>
      </c>
      <c r="K24" s="74">
        <f>INDEX(MASTER!$C$25:$F$42,MATCH($G24,allocation,0),MATCH(K$23,MASTER!$C$24:$F$24,0))</f>
        <v>0.41</v>
      </c>
      <c r="L24" s="74">
        <f>INDEX(MASTER!$C$25:$F$42,MATCH($G24,allocation,0),MATCH(L$23,MASTER!$C$24:$F$24,0))</f>
        <v>0.14000000000000001</v>
      </c>
      <c r="M24" s="74">
        <f>INDEX(MASTER!$C$25:$F$42,MATCH($G24,allocation,0),MATCH(M$23,MASTER!$C$24:$F$24,0))</f>
        <v>0.02</v>
      </c>
    </row>
    <row r="25" spans="2:13" s="5" customFormat="1" ht="14.1" customHeight="1" thickBot="1">
      <c r="B25" s="49" t="s">
        <v>10</v>
      </c>
      <c r="C25" s="49"/>
      <c r="D25" s="49"/>
      <c r="E25" s="49"/>
      <c r="F25" s="50">
        <f>SUM(F24:F24)</f>
        <v>12000</v>
      </c>
      <c r="G25" s="49"/>
      <c r="H25" s="40"/>
    </row>
    <row r="26" spans="2:13" s="5" customFormat="1" ht="14.1" customHeight="1" thickTop="1">
      <c r="B26" s="40"/>
      <c r="C26" s="41"/>
      <c r="G26" s="40"/>
      <c r="H26" s="40"/>
    </row>
    <row r="27" spans="2:13" s="5" customFormat="1" ht="14.1" customHeight="1">
      <c r="B27" s="41" t="s">
        <v>11</v>
      </c>
      <c r="C27" s="35">
        <f>ROUNDUP($F$25,-$B$28)</f>
        <v>12000</v>
      </c>
      <c r="F27" s="40"/>
      <c r="G27" s="40"/>
      <c r="H27" s="40"/>
    </row>
    <row r="28" spans="2:13" s="5" customFormat="1" ht="14.1" customHeight="1">
      <c r="B28" s="51">
        <v>3</v>
      </c>
      <c r="C28" s="41"/>
      <c r="D28" s="40"/>
      <c r="E28" s="40"/>
      <c r="F28" s="40"/>
      <c r="G28" s="40"/>
      <c r="H28" s="40"/>
    </row>
    <row r="29" spans="2:13" s="5" customFormat="1" ht="14.1" customHeight="1">
      <c r="B29" s="40"/>
      <c r="C29" s="41"/>
      <c r="D29" s="40"/>
      <c r="E29" s="40"/>
      <c r="F29" s="40"/>
      <c r="G29" s="40"/>
      <c r="H29" s="40"/>
    </row>
    <row r="30" spans="2:13" s="5" customFormat="1" ht="14.1" customHeight="1">
      <c r="B30" s="40"/>
      <c r="C30" s="41"/>
      <c r="D30" s="40"/>
      <c r="E30" s="53" t="s">
        <v>12</v>
      </c>
      <c r="F30" s="54" t="s">
        <v>13</v>
      </c>
      <c r="G30" s="54" t="s">
        <v>14</v>
      </c>
      <c r="H30" s="55" t="s">
        <v>15</v>
      </c>
    </row>
    <row r="31" spans="2:13" s="5" customFormat="1" ht="14.1" customHeight="1">
      <c r="B31" s="36"/>
      <c r="C31" s="36"/>
      <c r="D31" s="36"/>
      <c r="E31" s="53" t="str">
        <f>"FY "&amp;MASTER!$B$4-1&amp;" - "&amp;MASTER!$B$4</f>
        <v>FY 2020 - 2021</v>
      </c>
      <c r="F31" s="56">
        <f>MASTER!$B$6</f>
        <v>44255</v>
      </c>
      <c r="G31" s="54" t="str">
        <f>"June "&amp;MASTER!$B$4</f>
        <v>June 2021</v>
      </c>
      <c r="H31" s="55" t="str">
        <f>"FY "&amp;MASTER!$B$4&amp;" - "&amp;MASTER!$B$5</f>
        <v>FY 2021 - 2022</v>
      </c>
    </row>
    <row r="32" spans="2:13" s="5" customFormat="1" ht="14.1" customHeight="1">
      <c r="B32" s="57"/>
      <c r="C32" s="57"/>
      <c r="D32" s="58"/>
      <c r="E32" s="59"/>
      <c r="F32" s="60"/>
      <c r="G32" s="60"/>
      <c r="H32" s="58"/>
    </row>
    <row r="33" spans="2:253" s="5" customFormat="1" ht="14.1" customHeight="1">
      <c r="B33" s="40" t="str">
        <f>$D$5</f>
        <v>Vehicle Maintenance</v>
      </c>
      <c r="C33" s="41"/>
      <c r="D33" s="58"/>
      <c r="E33" s="61">
        <v>12000</v>
      </c>
      <c r="F33" s="62">
        <v>4215</v>
      </c>
      <c r="G33" s="62">
        <v>11000</v>
      </c>
      <c r="H33" s="63">
        <f>C27</f>
        <v>12000</v>
      </c>
    </row>
    <row r="34" spans="2:253" s="5" customFormat="1" ht="14.1" customHeight="1">
      <c r="B34" s="40"/>
      <c r="C34" s="41"/>
      <c r="D34" s="58"/>
      <c r="E34" s="59"/>
      <c r="F34" s="59"/>
      <c r="G34" s="58"/>
      <c r="H34" s="82"/>
    </row>
    <row r="35" spans="2:253" s="5" customFormat="1" ht="14.1" customHeight="1">
      <c r="B35" s="2"/>
      <c r="C35" s="1"/>
    </row>
    <row r="36" spans="2:253" s="5" customFormat="1" ht="14.1" customHeight="1">
      <c r="B36" s="36" t="s">
        <v>39</v>
      </c>
      <c r="C36" s="36"/>
      <c r="D36" s="55" t="s">
        <v>40</v>
      </c>
      <c r="E36" s="55" t="s">
        <v>41</v>
      </c>
    </row>
    <row r="37" spans="2:253" s="5" customFormat="1" ht="14.1" customHeight="1">
      <c r="B37" s="75" t="s">
        <v>32</v>
      </c>
      <c r="C37" s="84">
        <f>E37/E41</f>
        <v>0.43</v>
      </c>
      <c r="D37" s="78">
        <f>SUMPRODUCT($F$24:$F$24,$J$24:$J$24)</f>
        <v>5160</v>
      </c>
      <c r="E37" s="78">
        <f>$D37+($C$27-SUM($D$37:$D$40))*($D37/$D$41)</f>
        <v>5160</v>
      </c>
    </row>
    <row r="38" spans="2:253" s="5" customFormat="1" ht="14.1" customHeight="1">
      <c r="B38" s="75" t="s">
        <v>33</v>
      </c>
      <c r="C38" s="84">
        <f>E38/E41</f>
        <v>0.41</v>
      </c>
      <c r="D38" s="78">
        <f>SUMPRODUCT($F$24:$F$24,$K$24:$K$24)</f>
        <v>4920</v>
      </c>
      <c r="E38" s="78">
        <f>$D38+($C$27-SUM($D$37:$D$40))*($D38/$D$41)</f>
        <v>4920</v>
      </c>
    </row>
    <row r="39" spans="2:253" s="5" customFormat="1" ht="14.1" customHeight="1">
      <c r="B39" s="75" t="s">
        <v>34</v>
      </c>
      <c r="C39" s="84">
        <f>E39/E41</f>
        <v>0.14000000000000001</v>
      </c>
      <c r="D39" s="78">
        <f>SUMPRODUCT($F$24:$F$24,$L$24:$L$24)</f>
        <v>1680.0000000000002</v>
      </c>
      <c r="E39" s="78">
        <f>$D39+($C$27-SUM($D$37:$D$40))*($D39/$D$41)</f>
        <v>1680.0000000000002</v>
      </c>
    </row>
    <row r="40" spans="2:253" s="5" customFormat="1" ht="14.1" customHeight="1">
      <c r="B40" s="75" t="s">
        <v>35</v>
      </c>
      <c r="C40" s="84">
        <f>E40/E41</f>
        <v>0.02</v>
      </c>
      <c r="D40" s="78">
        <f>SUMPRODUCT($F$24:$F$24,$M$24:$M$24)</f>
        <v>240</v>
      </c>
      <c r="E40" s="78">
        <f>$D40+($C$27-SUM($D$37:$D$40))*($D40/$D$41)</f>
        <v>240</v>
      </c>
    </row>
    <row r="41" spans="2:253" s="5" customFormat="1" ht="12.75" customHeight="1">
      <c r="B41" s="77" t="s">
        <v>10</v>
      </c>
      <c r="C41" s="85">
        <f>SUM(C37:C40)</f>
        <v>1</v>
      </c>
      <c r="D41" s="79">
        <f>SUM(D37:D40)</f>
        <v>12000</v>
      </c>
      <c r="E41" s="79">
        <f>SUM(E37:E40)</f>
        <v>12000</v>
      </c>
    </row>
    <row r="42" spans="2:253" s="5" customFormat="1" ht="12.75" customHeight="1">
      <c r="B42" s="2"/>
      <c r="C42" s="2"/>
      <c r="D42" s="2"/>
      <c r="E42" s="76"/>
    </row>
    <row r="43" spans="2:253" s="5" customFormat="1" ht="12.75" customHeight="1">
      <c r="E43" s="20"/>
      <c r="F43" s="6"/>
    </row>
    <row r="44" spans="2:253" s="5" customFormat="1" ht="12.75" customHeight="1">
      <c r="E44" s="20"/>
    </row>
    <row r="45" spans="2:253" s="5" customFormat="1" ht="12.75" customHeight="1">
      <c r="D45" s="21"/>
      <c r="E45" s="20"/>
    </row>
    <row r="46" spans="2:253" s="5" customFormat="1" ht="12.75" customHeight="1">
      <c r="D46" s="21"/>
      <c r="E46" s="20"/>
    </row>
    <row r="47" spans="2:253" s="5" customFormat="1" ht="12.75" customHeight="1">
      <c r="E47" s="20"/>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row>
    <row r="48" spans="2:253" s="5" customFormat="1" ht="12.75" customHeight="1">
      <c r="D48" s="21"/>
      <c r="E48" s="20"/>
    </row>
    <row r="49" spans="4:5" s="5" customFormat="1" ht="12.75" customHeight="1">
      <c r="E49" s="20"/>
    </row>
    <row r="50" spans="4:5" ht="12.75" customHeight="1">
      <c r="E50" s="20"/>
    </row>
    <row r="51" spans="4:5" ht="12.75" customHeight="1">
      <c r="E51" s="4"/>
    </row>
    <row r="52" spans="4:5">
      <c r="E52" s="3"/>
    </row>
    <row r="64" spans="4:5">
      <c r="D64" s="3"/>
      <c r="E64" s="3"/>
    </row>
  </sheetData>
  <mergeCells count="4">
    <mergeCell ref="E4:F4"/>
    <mergeCell ref="D5:G5"/>
    <mergeCell ref="B13:H15"/>
    <mergeCell ref="B18:H19"/>
  </mergeCells>
  <dataValidations count="2">
    <dataValidation type="list" allowBlank="1" showInputMessage="1" showErrorMessage="1" sqref="E4" xr:uid="{00000000-0002-0000-1600-000000000000}">
      <formula1>enterprise</formula1>
    </dataValidation>
    <dataValidation type="list" allowBlank="1" showInputMessage="1" showErrorMessage="1" sqref="G24" xr:uid="{00000000-0002-0000-1600-000001000000}">
      <formula1>allocation</formula1>
    </dataValidation>
  </dataValidations>
  <pageMargins left="0.7" right="0.7" top="0.75" bottom="0.75" header="0.3" footer="0.3"/>
  <pageSetup scale="9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B2:IS65"/>
  <sheetViews>
    <sheetView workbookViewId="0">
      <selection activeCell="H35" sqref="H35"/>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E34</f>
        <v>3000</v>
      </c>
      <c r="K2" s="120">
        <f t="shared" ref="K2:M2" si="0">F34</f>
        <v>1600</v>
      </c>
      <c r="L2" s="120">
        <f t="shared" si="0"/>
        <v>2500</v>
      </c>
      <c r="M2" s="120">
        <f t="shared" si="0"/>
        <v>3000</v>
      </c>
    </row>
    <row r="3" spans="2:13" ht="14.1" customHeight="1">
      <c r="B3" s="40"/>
      <c r="C3" s="40"/>
      <c r="D3" s="40"/>
      <c r="E3" s="40"/>
      <c r="F3" s="40"/>
      <c r="G3" s="40"/>
      <c r="H3" s="40"/>
      <c r="J3" s="121">
        <f>C38</f>
        <v>0.33</v>
      </c>
      <c r="K3" s="121"/>
      <c r="L3" s="121"/>
      <c r="M3" s="121"/>
    </row>
    <row r="4" spans="2:13" ht="23.25" customHeight="1">
      <c r="B4" s="40"/>
      <c r="C4" s="40"/>
      <c r="D4" s="40"/>
      <c r="E4" s="316" t="s">
        <v>118</v>
      </c>
      <c r="F4" s="316"/>
      <c r="G4" s="41"/>
      <c r="H4" s="40"/>
      <c r="J4" s="121">
        <f t="shared" ref="J4:J6" si="1">C39</f>
        <v>0.34</v>
      </c>
    </row>
    <row r="5" spans="2:13" ht="14.1" customHeight="1">
      <c r="B5" s="42"/>
      <c r="C5" s="42"/>
      <c r="D5" s="312" t="str">
        <f>'Operating Budget'!B44</f>
        <v>Building Security</v>
      </c>
      <c r="E5" s="312"/>
      <c r="F5" s="312"/>
      <c r="G5" s="312"/>
      <c r="H5" s="43"/>
      <c r="J5" s="121">
        <f t="shared" si="1"/>
        <v>0.33</v>
      </c>
    </row>
    <row r="6" spans="2:13" ht="19.5" customHeight="1">
      <c r="B6" s="40"/>
      <c r="C6" s="40"/>
      <c r="D6" s="40"/>
      <c r="E6" s="40"/>
      <c r="H6" s="40"/>
      <c r="J6" s="121">
        <f t="shared" si="1"/>
        <v>0</v>
      </c>
    </row>
    <row r="7" spans="2:13" ht="14.1" hidden="1" customHeight="1">
      <c r="B7" s="40"/>
      <c r="C7" s="40"/>
      <c r="D7" s="40"/>
      <c r="E7" s="40"/>
      <c r="F7" s="44"/>
      <c r="G7" s="44"/>
      <c r="H7" s="40"/>
    </row>
    <row r="8" spans="2:13" ht="14.1" customHeight="1">
      <c r="B8" s="41" t="s">
        <v>2</v>
      </c>
      <c r="C8" s="40">
        <f>'Operating Budget'!C44</f>
        <v>4330</v>
      </c>
      <c r="D8" s="40"/>
      <c r="E8" s="40"/>
      <c r="F8" s="40"/>
      <c r="G8" s="40"/>
      <c r="H8" s="40"/>
    </row>
    <row r="9" spans="2:13" ht="14.1" customHeight="1">
      <c r="B9" s="41" t="s">
        <v>3</v>
      </c>
      <c r="C9" s="40">
        <f>INDEX('Operating Budget'!$A$11:$A$107,MATCH('18'!C8,'Operating Budget'!C11:C107))</f>
        <v>18</v>
      </c>
      <c r="D9" s="40"/>
      <c r="E9" s="202"/>
      <c r="F9" s="40"/>
      <c r="G9" s="40"/>
      <c r="H9" s="40"/>
    </row>
    <row r="10" spans="2:13" ht="14.1" customHeight="1">
      <c r="B10" s="40"/>
      <c r="C10" s="40"/>
      <c r="D10" s="40"/>
      <c r="E10" s="40"/>
      <c r="F10" s="202"/>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126</v>
      </c>
      <c r="C13" s="319"/>
      <c r="D13" s="319"/>
      <c r="E13" s="319"/>
      <c r="F13" s="319"/>
      <c r="G13" s="319"/>
      <c r="H13" s="319"/>
    </row>
    <row r="14" spans="2:13" ht="14.1" hidden="1" customHeight="1">
      <c r="B14" s="319"/>
      <c r="C14" s="319"/>
      <c r="D14" s="319"/>
      <c r="E14" s="319"/>
      <c r="F14" s="319"/>
      <c r="G14" s="319"/>
      <c r="H14" s="319"/>
    </row>
    <row r="15" spans="2:13" ht="14.1" hidden="1" customHeight="1">
      <c r="B15" s="319"/>
      <c r="C15" s="319"/>
      <c r="D15" s="319"/>
      <c r="E15" s="319"/>
      <c r="F15" s="319"/>
      <c r="G15" s="319"/>
      <c r="H15" s="319"/>
    </row>
    <row r="16" spans="2:13" ht="14.1" customHeight="1">
      <c r="B16" s="45"/>
      <c r="C16" s="45"/>
      <c r="D16" s="45"/>
      <c r="E16" s="45"/>
      <c r="F16" s="45"/>
      <c r="G16" s="45"/>
      <c r="H16" s="45"/>
    </row>
    <row r="17" spans="2:13" ht="14.1" customHeight="1">
      <c r="B17" s="41" t="str">
        <f>"Changes for FY "&amp;MASTER!$B$4&amp;" - "&amp;MASTER!$B$5&amp;":"</f>
        <v>Changes for FY 2021 - 2022:</v>
      </c>
      <c r="C17" s="45"/>
      <c r="D17" s="45"/>
      <c r="E17" s="45"/>
      <c r="F17" s="45"/>
      <c r="G17" s="45"/>
      <c r="H17" s="45"/>
    </row>
    <row r="18" spans="2:13" ht="14.1" customHeight="1">
      <c r="B18" s="319" t="s">
        <v>43</v>
      </c>
      <c r="C18" s="319"/>
      <c r="D18" s="319"/>
      <c r="E18" s="319"/>
      <c r="F18" s="319"/>
      <c r="G18" s="319"/>
      <c r="H18" s="319"/>
    </row>
    <row r="19" spans="2:13" ht="14.1" hidden="1" customHeight="1">
      <c r="B19" s="319"/>
      <c r="C19" s="319"/>
      <c r="D19" s="319"/>
      <c r="E19" s="319"/>
      <c r="F19" s="319"/>
      <c r="G19" s="319"/>
      <c r="H19" s="319"/>
    </row>
    <row r="20" spans="2:13" ht="14.1" customHeight="1">
      <c r="B20" s="310"/>
      <c r="C20" s="310"/>
      <c r="D20" s="310"/>
      <c r="E20" s="310"/>
      <c r="F20" s="310"/>
      <c r="G20" s="310"/>
      <c r="H20" s="310"/>
    </row>
    <row r="21" spans="2:13" s="5" customFormat="1" ht="14.1" customHeight="1">
      <c r="B21" s="36" t="s">
        <v>7</v>
      </c>
      <c r="C21" s="37"/>
      <c r="D21" s="37"/>
      <c r="E21" s="37"/>
      <c r="F21" s="37"/>
      <c r="G21" s="37"/>
      <c r="H21" s="38"/>
    </row>
    <row r="22" spans="2:13" s="5" customFormat="1" ht="14.1" customHeight="1">
      <c r="B22" s="40"/>
      <c r="C22" s="41"/>
      <c r="D22" s="40"/>
      <c r="E22" s="40"/>
      <c r="F22" s="40"/>
      <c r="G22" s="40"/>
      <c r="H22" s="40"/>
    </row>
    <row r="23" spans="2:13" s="5" customFormat="1" ht="14.1" customHeight="1">
      <c r="B23" s="67" t="str">
        <f>$D$5</f>
        <v>Building Security</v>
      </c>
      <c r="C23" s="67"/>
      <c r="D23" s="68" t="s">
        <v>29</v>
      </c>
      <c r="E23" s="68" t="s">
        <v>30</v>
      </c>
      <c r="F23" s="68" t="s">
        <v>10</v>
      </c>
      <c r="G23" s="69" t="s">
        <v>31</v>
      </c>
      <c r="H23" s="40"/>
      <c r="J23" s="73" t="s">
        <v>32</v>
      </c>
      <c r="K23" s="73" t="s">
        <v>33</v>
      </c>
      <c r="L23" s="73" t="s">
        <v>34</v>
      </c>
      <c r="M23" s="73" t="s">
        <v>35</v>
      </c>
    </row>
    <row r="24" spans="2:13" s="5" customFormat="1" ht="14.1" customHeight="1">
      <c r="B24" s="64" t="s">
        <v>127</v>
      </c>
      <c r="C24" s="57"/>
      <c r="D24" s="80">
        <v>12</v>
      </c>
      <c r="E24" s="66">
        <v>250</v>
      </c>
      <c r="F24" s="66">
        <f>PRODUCT(D24,E24)</f>
        <v>3000</v>
      </c>
      <c r="G24" s="71" t="s">
        <v>128</v>
      </c>
      <c r="H24" s="40"/>
      <c r="J24" s="74">
        <f>INDEX(MASTER!$C$25:$F$42,MATCH($G24,allocation,0),MATCH(J$23,MASTER!$C$24:$F$24,0))</f>
        <v>0.33</v>
      </c>
      <c r="K24" s="74">
        <f>INDEX(MASTER!$C$25:$F$42,MATCH($G24,allocation,0),MATCH(K$23,MASTER!$C$24:$F$24,0))</f>
        <v>0.34</v>
      </c>
      <c r="L24" s="74">
        <f>INDEX(MASTER!$C$25:$F$42,MATCH($G24,allocation,0),MATCH(L$23,MASTER!$C$24:$F$24,0))</f>
        <v>0.33</v>
      </c>
      <c r="M24" s="74">
        <f>INDEX(MASTER!$C$25:$F$42,MATCH($G24,allocation,0),MATCH(M$23,MASTER!$C$24:$F$24,0))</f>
        <v>0</v>
      </c>
    </row>
    <row r="25" spans="2:13" s="5" customFormat="1" ht="14.1" hidden="1" customHeight="1">
      <c r="B25" s="64"/>
      <c r="C25" s="57"/>
      <c r="D25" s="80">
        <v>12</v>
      </c>
      <c r="E25" s="66">
        <v>0</v>
      </c>
      <c r="F25" s="66">
        <f>PRODUCT(D25,E25)</f>
        <v>0</v>
      </c>
      <c r="G25" s="81" t="s">
        <v>128</v>
      </c>
      <c r="H25" s="40"/>
      <c r="J25" s="74">
        <f>INDEX(MASTER!$C$25:$F$42,MATCH($G25,allocation,0),MATCH(J$23,MASTER!$C$24:$F$24,0))</f>
        <v>0.33</v>
      </c>
      <c r="K25" s="74">
        <f>INDEX(MASTER!$C$25:$F$42,MATCH($G25,allocation,0),MATCH(K$23,MASTER!$C$24:$F$24,0))</f>
        <v>0.34</v>
      </c>
      <c r="L25" s="74">
        <f>INDEX(MASTER!$C$25:$F$42,MATCH($G25,allocation,0),MATCH(L$23,MASTER!$C$24:$F$24,0))</f>
        <v>0.33</v>
      </c>
      <c r="M25" s="74">
        <f>INDEX(MASTER!$C$25:$F$42,MATCH($G25,allocation,0),MATCH(M$23,MASTER!$C$24:$F$24,0))</f>
        <v>0</v>
      </c>
    </row>
    <row r="26" spans="2:13" s="5" customFormat="1" ht="14.1" customHeight="1" thickBot="1">
      <c r="B26" s="49" t="s">
        <v>10</v>
      </c>
      <c r="C26" s="49"/>
      <c r="D26" s="49"/>
      <c r="E26" s="49"/>
      <c r="F26" s="50">
        <f>SUM(F24:F25)</f>
        <v>3000</v>
      </c>
      <c r="G26" s="49"/>
      <c r="H26" s="40"/>
    </row>
    <row r="27" spans="2:13" s="5" customFormat="1" ht="14.1" customHeight="1" thickTop="1">
      <c r="B27" s="40"/>
      <c r="C27" s="41"/>
      <c r="G27" s="40"/>
      <c r="H27" s="40"/>
    </row>
    <row r="28" spans="2:13" s="5" customFormat="1" ht="14.1" customHeight="1">
      <c r="B28" s="41" t="s">
        <v>11</v>
      </c>
      <c r="C28" s="35">
        <f>ROUNDUP($F$26,-$B$29)</f>
        <v>3000</v>
      </c>
      <c r="F28" s="40"/>
      <c r="G28" s="40"/>
      <c r="H28" s="40"/>
    </row>
    <row r="29" spans="2:13" s="5" customFormat="1" ht="14.1" customHeight="1">
      <c r="B29" s="51">
        <v>2</v>
      </c>
      <c r="C29" s="41"/>
      <c r="D29" s="40"/>
      <c r="E29" s="40"/>
      <c r="F29" s="40"/>
      <c r="G29" s="40"/>
      <c r="H29" s="40"/>
    </row>
    <row r="30" spans="2:13" s="5" customFormat="1" ht="14.1" customHeight="1">
      <c r="B30" s="40"/>
      <c r="C30" s="41"/>
      <c r="D30" s="40"/>
      <c r="E30" s="40"/>
      <c r="F30" s="40"/>
      <c r="G30" s="40"/>
      <c r="H30" s="40"/>
    </row>
    <row r="31" spans="2:13" s="5" customFormat="1" ht="14.1" customHeight="1">
      <c r="B31" s="40"/>
      <c r="C31" s="41"/>
      <c r="D31" s="40"/>
      <c r="E31" s="53" t="s">
        <v>12</v>
      </c>
      <c r="F31" s="54" t="s">
        <v>13</v>
      </c>
      <c r="G31" s="54" t="s">
        <v>14</v>
      </c>
      <c r="H31" s="55" t="s">
        <v>15</v>
      </c>
    </row>
    <row r="32" spans="2:13" s="5" customFormat="1" ht="14.1" customHeight="1">
      <c r="B32" s="36"/>
      <c r="C32" s="36"/>
      <c r="D32" s="36"/>
      <c r="E32" s="53" t="str">
        <f>"FY "&amp;MASTER!$B$4-1&amp;" - "&amp;MASTER!$B$4</f>
        <v>FY 2020 - 2021</v>
      </c>
      <c r="F32" s="56">
        <f>MASTER!$B$6</f>
        <v>44255</v>
      </c>
      <c r="G32" s="54" t="str">
        <f>"June "&amp;MASTER!$B$4</f>
        <v>June 2021</v>
      </c>
      <c r="H32" s="55" t="str">
        <f>"FY "&amp;MASTER!$B$4&amp;" - "&amp;MASTER!$B$5</f>
        <v>FY 2021 - 2022</v>
      </c>
    </row>
    <row r="33" spans="2:253" s="5" customFormat="1" ht="14.1" customHeight="1">
      <c r="B33" s="57"/>
      <c r="C33" s="57"/>
      <c r="D33" s="58"/>
      <c r="E33" s="59"/>
      <c r="F33" s="60"/>
      <c r="G33" s="60"/>
      <c r="H33" s="58"/>
    </row>
    <row r="34" spans="2:253" s="5" customFormat="1" ht="14.1" customHeight="1">
      <c r="B34" s="40" t="str">
        <f>$D$5</f>
        <v>Building Security</v>
      </c>
      <c r="C34" s="41"/>
      <c r="D34" s="58"/>
      <c r="E34" s="61">
        <v>3000</v>
      </c>
      <c r="F34" s="62">
        <v>1600</v>
      </c>
      <c r="G34" s="62">
        <v>2500</v>
      </c>
      <c r="H34" s="63">
        <f>C28</f>
        <v>3000</v>
      </c>
    </row>
    <row r="35" spans="2:253" s="5" customFormat="1" ht="14.1" customHeight="1">
      <c r="B35" s="40"/>
      <c r="C35" s="41"/>
      <c r="D35" s="58"/>
      <c r="E35" s="59"/>
      <c r="F35" s="59"/>
      <c r="G35" s="58"/>
      <c r="H35" s="82"/>
    </row>
    <row r="36" spans="2:253" s="5" customFormat="1" ht="14.1" customHeight="1">
      <c r="B36" s="2"/>
      <c r="C36" s="1"/>
    </row>
    <row r="37" spans="2:253" s="5" customFormat="1" ht="14.1" customHeight="1">
      <c r="B37" s="36" t="s">
        <v>39</v>
      </c>
      <c r="C37" s="36"/>
      <c r="D37" s="55" t="s">
        <v>40</v>
      </c>
      <c r="E37" s="55" t="s">
        <v>41</v>
      </c>
    </row>
    <row r="38" spans="2:253" s="5" customFormat="1" ht="14.1" customHeight="1">
      <c r="B38" s="75" t="s">
        <v>32</v>
      </c>
      <c r="C38" s="84">
        <f>E38/E42</f>
        <v>0.33</v>
      </c>
      <c r="D38" s="78">
        <f>SUMPRODUCT($F$24:$F$25,$J$24:$J$25)</f>
        <v>990</v>
      </c>
      <c r="E38" s="78">
        <f>$D38+($C$28-SUM($D$38:$D$41))*($D38/$D$42)</f>
        <v>990</v>
      </c>
    </row>
    <row r="39" spans="2:253" s="5" customFormat="1" ht="14.1" customHeight="1">
      <c r="B39" s="75" t="s">
        <v>33</v>
      </c>
      <c r="C39" s="84">
        <f>E39/E42</f>
        <v>0.34</v>
      </c>
      <c r="D39" s="78">
        <f>SUMPRODUCT($F$24:$F$25,$K$24:$K$25)</f>
        <v>1020.0000000000001</v>
      </c>
      <c r="E39" s="78">
        <f>$D39+($C$28-SUM($D$38:$D$41))*($D39/$D$42)</f>
        <v>1020.0000000000001</v>
      </c>
    </row>
    <row r="40" spans="2:253" s="5" customFormat="1" ht="14.1" customHeight="1">
      <c r="B40" s="75" t="s">
        <v>34</v>
      </c>
      <c r="C40" s="84">
        <f>E40/E42</f>
        <v>0.33</v>
      </c>
      <c r="D40" s="78">
        <f>SUMPRODUCT($F$24:$F$25,$L$24:$L$25)</f>
        <v>990</v>
      </c>
      <c r="E40" s="78">
        <f>$D40+($C$28-SUM($D$38:$D$41))*($D40/$D$42)</f>
        <v>990</v>
      </c>
    </row>
    <row r="41" spans="2:253" s="5" customFormat="1" ht="14.1" customHeight="1">
      <c r="B41" s="75" t="s">
        <v>35</v>
      </c>
      <c r="C41" s="84">
        <f>E41/E42</f>
        <v>0</v>
      </c>
      <c r="D41" s="78">
        <f>SUMPRODUCT($F$24:$F$25,$M$24:$M$25)</f>
        <v>0</v>
      </c>
      <c r="E41" s="78">
        <f>$D41+($C$28-SUM($D$38:$D$41))*($D41/$D$42)</f>
        <v>0</v>
      </c>
    </row>
    <row r="42" spans="2:253" s="5" customFormat="1" ht="12.75" customHeight="1">
      <c r="B42" s="77" t="s">
        <v>10</v>
      </c>
      <c r="C42" s="85">
        <f>SUM(C38:C41)</f>
        <v>1</v>
      </c>
      <c r="D42" s="79">
        <f>SUM(D38:D41)</f>
        <v>3000</v>
      </c>
      <c r="E42" s="79">
        <f>SUM(E38:E41)</f>
        <v>3000</v>
      </c>
    </row>
    <row r="43" spans="2:253" s="5" customFormat="1" ht="12.75" customHeight="1">
      <c r="B43" s="2"/>
      <c r="C43" s="2"/>
      <c r="D43" s="2"/>
      <c r="E43" s="76"/>
    </row>
    <row r="44" spans="2:253" s="5" customFormat="1" ht="12.75" customHeight="1">
      <c r="E44" s="20"/>
      <c r="F44" s="6"/>
    </row>
    <row r="45" spans="2:253" s="5" customFormat="1" ht="12.75" customHeight="1">
      <c r="E45" s="20"/>
    </row>
    <row r="46" spans="2:253" s="5" customFormat="1" ht="12.75" customHeight="1">
      <c r="D46" s="21"/>
      <c r="E46" s="20"/>
    </row>
    <row r="47" spans="2:253" s="5" customFormat="1" ht="12.75" customHeight="1">
      <c r="D47" s="21"/>
      <c r="E47" s="20"/>
    </row>
    <row r="48" spans="2:253" s="5" customFormat="1" ht="12.75" customHeight="1">
      <c r="E48" s="20"/>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row>
    <row r="49" spans="4:5" s="5" customFormat="1" ht="12.75" customHeight="1">
      <c r="D49" s="21"/>
      <c r="E49" s="20"/>
    </row>
    <row r="50" spans="4:5" s="5" customFormat="1" ht="12.75" customHeight="1">
      <c r="E50" s="20"/>
    </row>
    <row r="51" spans="4:5" ht="12.75" customHeight="1">
      <c r="E51" s="20"/>
    </row>
    <row r="52" spans="4:5" ht="12.75" customHeight="1">
      <c r="E52" s="4"/>
    </row>
    <row r="53" spans="4:5">
      <c r="E53" s="3"/>
    </row>
    <row r="65" spans="4:5">
      <c r="D65" s="3"/>
      <c r="E65" s="3"/>
    </row>
  </sheetData>
  <mergeCells count="4">
    <mergeCell ref="E4:F4"/>
    <mergeCell ref="D5:G5"/>
    <mergeCell ref="B13:H15"/>
    <mergeCell ref="B18:H19"/>
  </mergeCells>
  <dataValidations count="2">
    <dataValidation type="list" allowBlank="1" showInputMessage="1" showErrorMessage="1" sqref="G24:G25" xr:uid="{00000000-0002-0000-1700-000000000000}">
      <formula1>allocation</formula1>
    </dataValidation>
    <dataValidation type="list" allowBlank="1" showInputMessage="1" showErrorMessage="1" sqref="E4" xr:uid="{00000000-0002-0000-1700-000001000000}">
      <formula1>enterprise</formula1>
    </dataValidation>
  </dataValidations>
  <pageMargins left="0.7" right="0.7" top="0.75" bottom="0.75" header="0.3" footer="0.3"/>
  <pageSetup scale="9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B2:IS68"/>
  <sheetViews>
    <sheetView workbookViewId="0">
      <selection activeCell="L19" sqref="L19"/>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E36</f>
        <v>12000</v>
      </c>
      <c r="K2" s="120">
        <f t="shared" ref="K2:M2" si="0">F36</f>
        <v>5991</v>
      </c>
      <c r="L2" s="120">
        <f t="shared" si="0"/>
        <v>8000</v>
      </c>
      <c r="M2" s="120">
        <f t="shared" si="0"/>
        <v>17000</v>
      </c>
    </row>
    <row r="3" spans="2:13" ht="14.1" customHeight="1">
      <c r="B3" s="40"/>
      <c r="C3" s="40"/>
      <c r="D3" s="40"/>
      <c r="E3" s="40"/>
      <c r="F3" s="40"/>
      <c r="G3" s="40"/>
      <c r="H3" s="40"/>
      <c r="J3" s="121">
        <f>C41</f>
        <v>0.33</v>
      </c>
      <c r="K3" s="121"/>
      <c r="L3" s="121"/>
      <c r="M3" s="121"/>
    </row>
    <row r="4" spans="2:13" ht="23.25" customHeight="1">
      <c r="B4" s="40"/>
      <c r="C4" s="40"/>
      <c r="D4" s="40"/>
      <c r="E4" s="316" t="s">
        <v>118</v>
      </c>
      <c r="F4" s="316"/>
      <c r="G4" s="41"/>
      <c r="H4" s="40"/>
      <c r="J4" s="121">
        <f t="shared" ref="J4:J6" si="1">C42</f>
        <v>0.34</v>
      </c>
    </row>
    <row r="5" spans="2:13" ht="14.1" customHeight="1">
      <c r="B5" s="42"/>
      <c r="C5" s="42"/>
      <c r="D5" s="312" t="str">
        <f>'Operating Budget'!B45</f>
        <v>Building Maintenance</v>
      </c>
      <c r="E5" s="312"/>
      <c r="F5" s="312"/>
      <c r="G5" s="312"/>
      <c r="H5" s="43"/>
      <c r="J5" s="121">
        <f t="shared" si="1"/>
        <v>0.33</v>
      </c>
    </row>
    <row r="6" spans="2:13" ht="19.5" customHeight="1">
      <c r="B6" s="40"/>
      <c r="C6" s="40"/>
      <c r="D6" s="40"/>
      <c r="E6" s="40"/>
      <c r="H6" s="40"/>
      <c r="J6" s="121">
        <f t="shared" si="1"/>
        <v>0</v>
      </c>
    </row>
    <row r="7" spans="2:13" ht="14.1" hidden="1" customHeight="1">
      <c r="B7" s="40"/>
      <c r="C7" s="40"/>
      <c r="D7" s="40"/>
      <c r="E7" s="40"/>
      <c r="F7" s="44"/>
      <c r="G7" s="44"/>
      <c r="H7" s="40"/>
      <c r="J7" s="121">
        <f t="shared" ref="J7" si="2">C45</f>
        <v>1</v>
      </c>
    </row>
    <row r="8" spans="2:13" ht="14.1" customHeight="1">
      <c r="B8" s="41" t="s">
        <v>2</v>
      </c>
      <c r="C8" s="40">
        <f>'Operating Budget'!C45</f>
        <v>4340</v>
      </c>
      <c r="D8" s="40"/>
      <c r="E8" s="40"/>
      <c r="F8" s="40"/>
      <c r="G8" s="202"/>
      <c r="H8" s="40"/>
    </row>
    <row r="9" spans="2:13" ht="14.1" customHeight="1">
      <c r="B9" s="41" t="s">
        <v>3</v>
      </c>
      <c r="C9" s="40">
        <f>INDEX('Operating Budget'!$A$11:$A$107,MATCH('19'!C8,'Operating Budget'!C11:C107))</f>
        <v>19</v>
      </c>
      <c r="D9" s="40"/>
      <c r="E9" s="40"/>
      <c r="F9" s="40"/>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129</v>
      </c>
      <c r="C13" s="319"/>
      <c r="D13" s="319"/>
      <c r="E13" s="319"/>
      <c r="F13" s="319"/>
      <c r="G13" s="319"/>
      <c r="H13" s="319"/>
    </row>
    <row r="14" spans="2:13" ht="14.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21" t="s">
        <v>130</v>
      </c>
      <c r="C17" s="321"/>
      <c r="D17" s="321"/>
      <c r="E17" s="321"/>
      <c r="F17" s="321"/>
      <c r="G17" s="321"/>
      <c r="H17" s="321"/>
    </row>
    <row r="18" spans="2:13" ht="14.1" hidden="1" customHeight="1">
      <c r="B18" s="321"/>
      <c r="C18" s="321"/>
      <c r="D18" s="321"/>
      <c r="E18" s="321"/>
      <c r="F18" s="321"/>
      <c r="G18" s="321"/>
      <c r="H18" s="321"/>
    </row>
    <row r="19" spans="2:13" ht="14.1" customHeight="1">
      <c r="B19" s="310"/>
      <c r="C19" s="310"/>
      <c r="D19" s="310"/>
      <c r="E19" s="310"/>
      <c r="F19" s="310"/>
      <c r="G19" s="310"/>
      <c r="H19" s="310"/>
    </row>
    <row r="20" spans="2:13" s="5" customFormat="1" ht="14.1" customHeight="1">
      <c r="B20" s="36" t="s">
        <v>7</v>
      </c>
      <c r="C20" s="37"/>
      <c r="D20" s="37"/>
      <c r="E20" s="37"/>
      <c r="F20" s="37"/>
      <c r="G20" s="37"/>
      <c r="H20" s="38"/>
    </row>
    <row r="21" spans="2:13" s="5" customFormat="1" ht="14.1" customHeight="1">
      <c r="B21" s="40"/>
      <c r="C21" s="41"/>
      <c r="D21" s="40"/>
      <c r="E21" s="40"/>
      <c r="F21" s="40"/>
      <c r="G21" s="40"/>
      <c r="H21" s="40"/>
    </row>
    <row r="22" spans="2:13" s="5" customFormat="1" ht="14.1" customHeight="1">
      <c r="B22" s="67" t="str">
        <f>$D$5</f>
        <v>Building Maintenance</v>
      </c>
      <c r="C22" s="67"/>
      <c r="D22" s="68"/>
      <c r="E22" s="68"/>
      <c r="F22" s="68" t="s">
        <v>10</v>
      </c>
      <c r="G22" s="69" t="s">
        <v>31</v>
      </c>
      <c r="H22" s="40"/>
      <c r="J22" s="73" t="s">
        <v>32</v>
      </c>
      <c r="K22" s="73" t="s">
        <v>33</v>
      </c>
      <c r="L22" s="73" t="s">
        <v>34</v>
      </c>
      <c r="M22" s="73" t="s">
        <v>35</v>
      </c>
    </row>
    <row r="23" spans="2:13" s="5" customFormat="1" ht="14.1" customHeight="1">
      <c r="B23" s="64" t="s">
        <v>131</v>
      </c>
      <c r="C23" s="57"/>
      <c r="D23" s="80"/>
      <c r="E23" s="66"/>
      <c r="F23" s="66">
        <v>650</v>
      </c>
      <c r="G23" s="71" t="s">
        <v>128</v>
      </c>
      <c r="H23" s="40"/>
      <c r="J23" s="74">
        <f>INDEX(MASTER!$C$25:$F$42,MATCH($G23,allocation,0),MATCH(J$22,MASTER!$C$24:$F$24,0))</f>
        <v>0.33</v>
      </c>
      <c r="K23" s="74">
        <f>INDEX(MASTER!$C$25:$F$42,MATCH($G23,allocation,0),MATCH(K$22,MASTER!$C$24:$F$24,0))</f>
        <v>0.34</v>
      </c>
      <c r="L23" s="74">
        <f>INDEX(MASTER!$C$25:$F$42,MATCH($G23,allocation,0),MATCH(L$22,MASTER!$C$24:$F$24,0))</f>
        <v>0.33</v>
      </c>
      <c r="M23" s="74">
        <f>INDEX(MASTER!$C$25:$F$42,MATCH($G23,allocation,0),MATCH(M$22,MASTER!$C$24:$F$24,0))</f>
        <v>0</v>
      </c>
    </row>
    <row r="24" spans="2:13" s="5" customFormat="1" ht="14.1" customHeight="1">
      <c r="B24" s="64" t="s">
        <v>132</v>
      </c>
      <c r="C24" s="57"/>
      <c r="D24" s="80"/>
      <c r="E24" s="66"/>
      <c r="F24" s="66">
        <v>3000</v>
      </c>
      <c r="G24" s="81" t="s">
        <v>128</v>
      </c>
      <c r="H24" s="40"/>
      <c r="J24" s="74">
        <f>INDEX(MASTER!$C$25:$F$42,MATCH($G24,allocation,0),MATCH(J$22,MASTER!$C$24:$F$24,0))</f>
        <v>0.33</v>
      </c>
      <c r="K24" s="74">
        <f>INDEX(MASTER!$C$25:$F$42,MATCH($G24,allocation,0),MATCH(K$22,MASTER!$C$24:$F$24,0))</f>
        <v>0.34</v>
      </c>
      <c r="L24" s="74">
        <f>INDEX(MASTER!$C$25:$F$42,MATCH($G24,allocation,0),MATCH(L$22,MASTER!$C$24:$F$24,0))</f>
        <v>0.33</v>
      </c>
      <c r="M24" s="74">
        <f>INDEX(MASTER!$C$25:$F$42,MATCH($G24,allocation,0),MATCH(M$22,MASTER!$C$24:$F$24,0))</f>
        <v>0</v>
      </c>
    </row>
    <row r="25" spans="2:13" s="5" customFormat="1" ht="14.1" customHeight="1">
      <c r="B25" s="64" t="s">
        <v>133</v>
      </c>
      <c r="C25" s="57"/>
      <c r="D25" s="80"/>
      <c r="E25" s="66"/>
      <c r="F25" s="66">
        <v>1200</v>
      </c>
      <c r="G25" s="81" t="s">
        <v>128</v>
      </c>
      <c r="H25" s="40"/>
      <c r="J25" s="74">
        <f>INDEX(MASTER!$C$25:$F$42,MATCH($G25,allocation,0),MATCH(J$22,MASTER!$C$24:$F$24,0))</f>
        <v>0.33</v>
      </c>
      <c r="K25" s="74">
        <f>INDEX(MASTER!$C$25:$F$42,MATCH($G25,allocation,0),MATCH(K$22,MASTER!$C$24:$F$24,0))</f>
        <v>0.34</v>
      </c>
      <c r="L25" s="74">
        <f>INDEX(MASTER!$C$25:$F$42,MATCH($G25,allocation,0),MATCH(L$22,MASTER!$C$24:$F$24,0))</f>
        <v>0.33</v>
      </c>
      <c r="M25" s="74">
        <f>INDEX(MASTER!$C$25:$F$42,MATCH($G25,allocation,0),MATCH(M$22,MASTER!$C$24:$F$24,0))</f>
        <v>0</v>
      </c>
    </row>
    <row r="26" spans="2:13" s="5" customFormat="1" ht="14.1" customHeight="1">
      <c r="B26" s="64" t="s">
        <v>134</v>
      </c>
      <c r="C26" s="57"/>
      <c r="D26" s="80"/>
      <c r="E26" s="66"/>
      <c r="F26" s="66">
        <v>8000</v>
      </c>
      <c r="G26" s="81" t="s">
        <v>128</v>
      </c>
      <c r="H26" s="40"/>
      <c r="J26" s="74">
        <f>INDEX(MASTER!$C$25:$F$42,MATCH($G26,allocation,0),MATCH(J$22,MASTER!$C$24:$F$24,0))</f>
        <v>0.33</v>
      </c>
      <c r="K26" s="74">
        <f>INDEX(MASTER!$C$25:$F$42,MATCH($G26,allocation,0),MATCH(K$22,MASTER!$C$24:$F$24,0))</f>
        <v>0.34</v>
      </c>
      <c r="L26" s="74">
        <f>INDEX(MASTER!$C$25:$F$42,MATCH($G26,allocation,0),MATCH(L$22,MASTER!$C$24:$F$24,0))</f>
        <v>0.33</v>
      </c>
      <c r="M26" s="74">
        <f>INDEX(MASTER!$C$25:$F$42,MATCH($G26,allocation,0),MATCH(M$22,MASTER!$C$24:$F$24,0))</f>
        <v>0</v>
      </c>
    </row>
    <row r="27" spans="2:13" s="5" customFormat="1" ht="14.1" customHeight="1">
      <c r="B27" s="64" t="s">
        <v>135</v>
      </c>
      <c r="C27" s="57"/>
      <c r="D27" s="80"/>
      <c r="E27" s="66"/>
      <c r="F27" s="66">
        <v>3800</v>
      </c>
      <c r="G27" s="81" t="s">
        <v>128</v>
      </c>
      <c r="H27" s="40"/>
      <c r="J27" s="74">
        <f>INDEX(MASTER!$C$25:$F$42,MATCH($G27,allocation,0),MATCH(J$22,MASTER!$C$24:$F$24,0))</f>
        <v>0.33</v>
      </c>
      <c r="K27" s="74">
        <f>INDEX(MASTER!$C$25:$F$42,MATCH($G27,allocation,0),MATCH(K$22,MASTER!$C$24:$F$24,0))</f>
        <v>0.34</v>
      </c>
      <c r="L27" s="74">
        <f>INDEX(MASTER!$C$25:$F$42,MATCH($G27,allocation,0),MATCH(L$22,MASTER!$C$24:$F$24,0))</f>
        <v>0.33</v>
      </c>
      <c r="M27" s="74">
        <f>INDEX(MASTER!$C$25:$F$42,MATCH($G27,allocation,0),MATCH(M$22,MASTER!$C$24:$F$24,0))</f>
        <v>0</v>
      </c>
    </row>
    <row r="28" spans="2:13" s="5" customFormat="1" ht="14.1" customHeight="1" thickBot="1">
      <c r="B28" s="49" t="s">
        <v>10</v>
      </c>
      <c r="C28" s="49"/>
      <c r="D28" s="49"/>
      <c r="E28" s="49"/>
      <c r="F28" s="50">
        <f>SUM(F23:F27)</f>
        <v>16650</v>
      </c>
      <c r="G28" s="49"/>
      <c r="H28" s="40"/>
    </row>
    <row r="29" spans="2:13" s="5" customFormat="1" ht="14.1" customHeight="1" thickTop="1">
      <c r="B29" s="40"/>
      <c r="C29" s="41"/>
      <c r="G29" s="40"/>
      <c r="H29" s="40"/>
    </row>
    <row r="30" spans="2:13" s="5" customFormat="1" ht="14.1" customHeight="1">
      <c r="B30" s="41" t="s">
        <v>11</v>
      </c>
      <c r="C30" s="35">
        <f>ROUNDUP($F$28,-$B$31)</f>
        <v>17000</v>
      </c>
      <c r="F30" s="40"/>
      <c r="G30" s="40"/>
      <c r="H30" s="40"/>
    </row>
    <row r="31" spans="2:13" s="5" customFormat="1" ht="14.1" customHeight="1">
      <c r="B31" s="51">
        <v>3</v>
      </c>
      <c r="C31" s="41"/>
      <c r="D31" s="40"/>
      <c r="E31" s="40"/>
      <c r="F31" s="40"/>
      <c r="G31" s="40"/>
      <c r="H31" s="40"/>
    </row>
    <row r="32" spans="2:13" s="5" customFormat="1" ht="14.1" customHeight="1">
      <c r="B32" s="40"/>
      <c r="C32" s="41"/>
      <c r="D32" s="40"/>
      <c r="E32" s="40"/>
      <c r="F32" s="40"/>
      <c r="G32" s="40"/>
      <c r="H32" s="40"/>
    </row>
    <row r="33" spans="2:8" s="5" customFormat="1" ht="14.1" customHeight="1">
      <c r="B33" s="40"/>
      <c r="C33" s="41"/>
      <c r="D33" s="40"/>
      <c r="E33" s="53" t="s">
        <v>12</v>
      </c>
      <c r="F33" s="54" t="s">
        <v>13</v>
      </c>
      <c r="G33" s="54" t="s">
        <v>14</v>
      </c>
      <c r="H33" s="55" t="s">
        <v>15</v>
      </c>
    </row>
    <row r="34" spans="2:8" s="5" customFormat="1" ht="14.1" customHeight="1">
      <c r="B34" s="36"/>
      <c r="C34" s="36"/>
      <c r="D34" s="36"/>
      <c r="E34" s="53" t="str">
        <f>"FY "&amp;MASTER!$B$4-1&amp;" - "&amp;MASTER!$B$4</f>
        <v>FY 2020 - 2021</v>
      </c>
      <c r="F34" s="56">
        <f>MASTER!$B$6</f>
        <v>44255</v>
      </c>
      <c r="G34" s="54" t="str">
        <f>"June "&amp;MASTER!$B$4</f>
        <v>June 2021</v>
      </c>
      <c r="H34" s="55" t="str">
        <f>"FY "&amp;MASTER!$B$4&amp;" - "&amp;MASTER!$B$5</f>
        <v>FY 2021 - 2022</v>
      </c>
    </row>
    <row r="35" spans="2:8" s="5" customFormat="1" ht="14.1" customHeight="1">
      <c r="B35" s="57"/>
      <c r="C35" s="57"/>
      <c r="D35" s="58"/>
      <c r="E35" s="59"/>
      <c r="F35" s="60"/>
      <c r="G35" s="60"/>
      <c r="H35" s="58"/>
    </row>
    <row r="36" spans="2:8" s="5" customFormat="1" ht="14.1" customHeight="1">
      <c r="B36" s="40" t="str">
        <f>$D$5</f>
        <v>Building Maintenance</v>
      </c>
      <c r="C36" s="41"/>
      <c r="D36" s="58"/>
      <c r="E36" s="61">
        <v>12000</v>
      </c>
      <c r="F36" s="62">
        <v>5991</v>
      </c>
      <c r="G36" s="62">
        <v>8000</v>
      </c>
      <c r="H36" s="63">
        <f>C30</f>
        <v>17000</v>
      </c>
    </row>
    <row r="37" spans="2:8" s="5" customFormat="1" ht="14.1" customHeight="1">
      <c r="B37" s="40"/>
      <c r="C37" s="41"/>
      <c r="D37" s="58"/>
      <c r="E37" s="59"/>
      <c r="F37" s="59"/>
      <c r="G37" s="58"/>
      <c r="H37" s="82"/>
    </row>
    <row r="38" spans="2:8" s="5" customFormat="1" ht="14.1" customHeight="1">
      <c r="B38" s="40"/>
      <c r="C38" s="41"/>
      <c r="D38" s="58"/>
      <c r="E38" s="58"/>
      <c r="F38" s="58"/>
      <c r="G38" s="58"/>
      <c r="H38" s="63"/>
    </row>
    <row r="39" spans="2:8" s="5" customFormat="1" ht="14.1" customHeight="1">
      <c r="B39" s="2"/>
      <c r="C39" s="1"/>
    </row>
    <row r="40" spans="2:8" s="5" customFormat="1" ht="14.1" customHeight="1">
      <c r="B40" s="36" t="s">
        <v>39</v>
      </c>
      <c r="C40" s="36"/>
      <c r="D40" s="55" t="s">
        <v>40</v>
      </c>
      <c r="E40" s="55" t="s">
        <v>41</v>
      </c>
    </row>
    <row r="41" spans="2:8" s="5" customFormat="1" ht="14.1" customHeight="1">
      <c r="B41" s="75" t="s">
        <v>32</v>
      </c>
      <c r="C41" s="84">
        <f>E41/E45</f>
        <v>0.33</v>
      </c>
      <c r="D41" s="78">
        <f>SUMPRODUCT($F$23:$F$27,$J$23:$J$27)</f>
        <v>5494.5</v>
      </c>
      <c r="E41" s="78">
        <f>$D41+($C$30-SUM($D$41:$D$44))*($D41/$D$45)</f>
        <v>5610</v>
      </c>
    </row>
    <row r="42" spans="2:8" s="5" customFormat="1" ht="14.1" customHeight="1">
      <c r="B42" s="75" t="s">
        <v>33</v>
      </c>
      <c r="C42" s="84">
        <f>E42/E45</f>
        <v>0.34</v>
      </c>
      <c r="D42" s="78">
        <f>SUMPRODUCT($F$23:$F$27,$K$23:$K$27)</f>
        <v>5661</v>
      </c>
      <c r="E42" s="78">
        <f>$D42+($C$30-SUM($D$41:$D$44))*($D42/$D$45)</f>
        <v>5780</v>
      </c>
    </row>
    <row r="43" spans="2:8" s="5" customFormat="1" ht="14.1" customHeight="1">
      <c r="B43" s="75" t="s">
        <v>34</v>
      </c>
      <c r="C43" s="84">
        <f>E43/E45</f>
        <v>0.33</v>
      </c>
      <c r="D43" s="78">
        <f>SUMPRODUCT($F$23:$F$27,$L$23:$L$27)</f>
        <v>5494.5</v>
      </c>
      <c r="E43" s="78">
        <f>$D43+($C$30-SUM($D$41:$D$44))*($D43/$D$45)</f>
        <v>5610</v>
      </c>
    </row>
    <row r="44" spans="2:8" s="5" customFormat="1" ht="14.1" customHeight="1">
      <c r="B44" s="75" t="s">
        <v>35</v>
      </c>
      <c r="C44" s="84">
        <f>E44/E45</f>
        <v>0</v>
      </c>
      <c r="D44" s="78">
        <f>SUMPRODUCT($F$23:$F$27,$M$23:$M$27)</f>
        <v>0</v>
      </c>
      <c r="E44" s="78">
        <f>$D44+($C$30-SUM($D$41:$D$44))*($D44/$D$45)</f>
        <v>0</v>
      </c>
    </row>
    <row r="45" spans="2:8" s="5" customFormat="1" ht="12.75" customHeight="1">
      <c r="B45" s="77" t="s">
        <v>10</v>
      </c>
      <c r="C45" s="85">
        <f>SUM(C41:C44)</f>
        <v>1</v>
      </c>
      <c r="D45" s="79">
        <f>SUM(D41:D44)</f>
        <v>16650</v>
      </c>
      <c r="E45" s="79">
        <f>SUM(E41:E44)</f>
        <v>17000</v>
      </c>
    </row>
    <row r="46" spans="2:8" s="5" customFormat="1" ht="12.75" customHeight="1">
      <c r="B46" s="2"/>
      <c r="C46" s="2"/>
      <c r="D46" s="2"/>
      <c r="E46" s="76"/>
    </row>
    <row r="47" spans="2:8" s="5" customFormat="1" ht="12.75" customHeight="1">
      <c r="E47" s="20"/>
      <c r="F47" s="6"/>
    </row>
    <row r="48" spans="2:8" s="5" customFormat="1" ht="12.75" customHeight="1">
      <c r="E48" s="20"/>
    </row>
    <row r="49" spans="4:253" s="5" customFormat="1" ht="12.75" customHeight="1">
      <c r="D49" s="21"/>
      <c r="E49" s="20"/>
    </row>
    <row r="50" spans="4:253" s="5" customFormat="1" ht="12.75" customHeight="1">
      <c r="D50" s="21"/>
      <c r="E50" s="20"/>
    </row>
    <row r="51" spans="4:253" s="5" customFormat="1" ht="12.75" customHeight="1">
      <c r="E51" s="20"/>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row>
    <row r="52" spans="4:253" s="5" customFormat="1" ht="12.75" customHeight="1">
      <c r="D52" s="21"/>
      <c r="E52" s="20"/>
    </row>
    <row r="53" spans="4:253" s="5" customFormat="1" ht="12.75" customHeight="1">
      <c r="E53" s="20"/>
    </row>
    <row r="54" spans="4:253" ht="12.75" customHeight="1">
      <c r="E54" s="20"/>
    </row>
    <row r="55" spans="4:253" ht="12.75" customHeight="1">
      <c r="E55" s="4"/>
    </row>
    <row r="56" spans="4:253">
      <c r="E56" s="3"/>
    </row>
    <row r="68" spans="4:5">
      <c r="D68" s="3"/>
      <c r="E68" s="3"/>
    </row>
  </sheetData>
  <mergeCells count="4">
    <mergeCell ref="E4:F4"/>
    <mergeCell ref="D5:G5"/>
    <mergeCell ref="B13:H14"/>
    <mergeCell ref="B17:H18"/>
  </mergeCells>
  <dataValidations count="2">
    <dataValidation type="list" allowBlank="1" showInputMessage="1" showErrorMessage="1" sqref="E4" xr:uid="{00000000-0002-0000-1800-000000000000}">
      <formula1>enterprise</formula1>
    </dataValidation>
    <dataValidation type="list" allowBlank="1" showInputMessage="1" showErrorMessage="1" sqref="G23:G27" xr:uid="{00000000-0002-0000-1800-000001000000}">
      <formula1>allocation</formula1>
    </dataValidation>
  </dataValidations>
  <pageMargins left="0.7" right="0.7" top="0.75" bottom="0.75" header="0.3" footer="0.3"/>
  <pageSetup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B2:IS71"/>
  <sheetViews>
    <sheetView workbookViewId="0">
      <selection activeCell="F25" sqref="F25"/>
    </sheetView>
  </sheetViews>
  <sheetFormatPr defaultColWidth="8.85546875" defaultRowHeight="12.75"/>
  <cols>
    <col min="2" max="2" width="15.140625" customWidth="1"/>
    <col min="3" max="8" width="13.7109375" customWidth="1"/>
  </cols>
  <sheetData>
    <row r="2" spans="2:8" ht="14.1" customHeight="1">
      <c r="B2" s="36" t="str">
        <f>"FY "&amp;MASTER!$B$4&amp;" - "&amp;MASTER!$B$5&amp;" OPERATING BUDGET"</f>
        <v>FY 2021 - 2022 OPERATING BUDGET</v>
      </c>
      <c r="C2" s="37"/>
      <c r="D2" s="37"/>
      <c r="E2" s="37"/>
      <c r="F2" s="37"/>
      <c r="G2" s="37"/>
      <c r="H2" s="39" t="s">
        <v>0</v>
      </c>
    </row>
    <row r="3" spans="2:8" ht="14.1" customHeight="1">
      <c r="B3" s="40"/>
      <c r="C3" s="40"/>
      <c r="D3" s="40"/>
      <c r="E3" s="40"/>
      <c r="F3" s="40"/>
      <c r="G3" s="40"/>
      <c r="H3" s="40"/>
    </row>
    <row r="4" spans="2:8" ht="23.25" customHeight="1">
      <c r="B4" s="40"/>
      <c r="C4" s="40"/>
      <c r="D4" s="40"/>
      <c r="E4" s="316" t="s">
        <v>16</v>
      </c>
      <c r="F4" s="316"/>
      <c r="G4" s="41"/>
      <c r="H4" s="40"/>
    </row>
    <row r="5" spans="2:8" ht="14.1" customHeight="1">
      <c r="B5" s="42"/>
      <c r="C5" s="42"/>
      <c r="D5" s="42"/>
      <c r="E5" s="312" t="str">
        <f>'Operating Budget'!B13</f>
        <v>Sewer Revenue</v>
      </c>
      <c r="F5" s="312"/>
      <c r="G5" s="2"/>
      <c r="H5" s="43"/>
    </row>
    <row r="6" spans="2:8" ht="19.5" customHeight="1">
      <c r="B6" s="40"/>
      <c r="C6" s="40"/>
      <c r="D6" s="40"/>
      <c r="E6" s="40"/>
      <c r="H6" s="40"/>
    </row>
    <row r="7" spans="2:8" ht="14.1" customHeight="1">
      <c r="B7" s="40"/>
      <c r="C7" s="40"/>
      <c r="D7" s="40"/>
      <c r="E7" s="40"/>
      <c r="F7" s="44"/>
      <c r="G7" s="44"/>
      <c r="H7" s="40"/>
    </row>
    <row r="8" spans="2:8" ht="14.1" customHeight="1">
      <c r="B8" s="41" t="s">
        <v>2</v>
      </c>
      <c r="C8" s="40">
        <f>'Operating Budget'!C13</f>
        <v>3120</v>
      </c>
      <c r="D8" s="40"/>
      <c r="E8" s="40"/>
      <c r="F8" s="40"/>
      <c r="G8" s="202"/>
      <c r="H8" s="40"/>
    </row>
    <row r="9" spans="2:8" ht="14.1" customHeight="1">
      <c r="B9" s="41" t="s">
        <v>3</v>
      </c>
      <c r="C9" s="40">
        <f>INDEX('Operating Budget'!$A$11:$A$107,MATCH('2'!C8,'Operating Budget'!C11:C107))</f>
        <v>2</v>
      </c>
      <c r="D9" s="40"/>
      <c r="E9" s="40"/>
      <c r="F9" s="40"/>
      <c r="G9" s="40"/>
      <c r="H9" s="40"/>
    </row>
    <row r="10" spans="2:8" ht="14.1" customHeight="1">
      <c r="B10" s="40"/>
      <c r="C10" s="40"/>
      <c r="D10" s="40"/>
      <c r="E10" s="40"/>
      <c r="F10" s="40"/>
      <c r="G10" s="40"/>
      <c r="H10" s="40"/>
    </row>
    <row r="11" spans="2:8" ht="14.1" hidden="1" customHeight="1">
      <c r="B11" s="40"/>
      <c r="C11" s="40"/>
      <c r="D11" s="40"/>
      <c r="E11" s="40"/>
      <c r="F11" s="40"/>
      <c r="G11" s="40"/>
      <c r="H11" s="40"/>
    </row>
    <row r="12" spans="2:8" ht="14.1" customHeight="1">
      <c r="B12" s="41" t="s">
        <v>4</v>
      </c>
      <c r="C12" s="40"/>
      <c r="D12" s="40"/>
      <c r="E12" s="40"/>
      <c r="F12" s="40"/>
      <c r="G12" s="40"/>
      <c r="H12" s="40"/>
    </row>
    <row r="13" spans="2:8" ht="14.1" customHeight="1">
      <c r="B13" s="313" t="s">
        <v>17</v>
      </c>
      <c r="C13" s="313"/>
      <c r="D13" s="313"/>
      <c r="E13" s="313"/>
      <c r="F13" s="313"/>
      <c r="G13" s="313"/>
      <c r="H13" s="313"/>
    </row>
    <row r="14" spans="2:8" ht="14.1" hidden="1" customHeight="1">
      <c r="B14" s="313"/>
      <c r="C14" s="313"/>
      <c r="D14" s="313"/>
      <c r="E14" s="313"/>
      <c r="F14" s="313"/>
      <c r="G14" s="313"/>
      <c r="H14" s="313"/>
    </row>
    <row r="15" spans="2:8" ht="14.1" customHeight="1">
      <c r="B15" s="45"/>
      <c r="C15" s="45"/>
      <c r="D15" s="45"/>
      <c r="E15" s="45"/>
      <c r="F15" s="45"/>
      <c r="G15" s="45"/>
      <c r="H15" s="45"/>
    </row>
    <row r="16" spans="2:8" ht="14.1" customHeight="1">
      <c r="B16" s="41" t="str">
        <f>"Changes for FY "&amp;MASTER!$B$4&amp;" - "&amp;MASTER!$B$5&amp;":"</f>
        <v>Changes for FY 2021 - 2022:</v>
      </c>
      <c r="C16" s="45"/>
      <c r="D16" s="45"/>
      <c r="E16" s="45"/>
      <c r="F16" s="45"/>
      <c r="G16" s="45"/>
      <c r="H16" s="45"/>
    </row>
    <row r="17" spans="2:8" ht="14.1" customHeight="1">
      <c r="B17" s="317" t="s">
        <v>18</v>
      </c>
      <c r="C17" s="317"/>
      <c r="D17" s="317"/>
      <c r="E17" s="317"/>
      <c r="F17" s="317"/>
      <c r="G17" s="317"/>
      <c r="H17" s="317"/>
    </row>
    <row r="18" spans="2:8" ht="14.1" customHeight="1">
      <c r="B18" s="317"/>
      <c r="C18" s="317"/>
      <c r="D18" s="317"/>
      <c r="E18" s="317"/>
      <c r="F18" s="317"/>
      <c r="G18" s="317"/>
      <c r="H18" s="317"/>
    </row>
    <row r="19" spans="2:8" ht="14.1" customHeight="1">
      <c r="B19" s="317"/>
      <c r="C19" s="317"/>
      <c r="D19" s="317"/>
      <c r="E19" s="317"/>
      <c r="F19" s="317"/>
      <c r="G19" s="317"/>
      <c r="H19" s="317"/>
    </row>
    <row r="20" spans="2:8" ht="14.1" customHeight="1">
      <c r="B20" s="310"/>
      <c r="C20" s="310"/>
      <c r="D20" s="310"/>
      <c r="E20" s="310"/>
      <c r="F20" s="310"/>
      <c r="G20" s="310"/>
      <c r="H20" s="310"/>
    </row>
    <row r="21" spans="2:8" s="5" customFormat="1" ht="14.1" customHeight="1">
      <c r="B21" s="36" t="s">
        <v>7</v>
      </c>
      <c r="C21" s="37"/>
      <c r="D21" s="37"/>
      <c r="E21" s="37"/>
      <c r="F21" s="37"/>
      <c r="G21" s="37"/>
      <c r="H21" s="38"/>
    </row>
    <row r="22" spans="2:8" s="5" customFormat="1" ht="14.1" customHeight="1">
      <c r="B22" s="40"/>
      <c r="C22" s="41"/>
      <c r="D22" s="40"/>
      <c r="E22" s="40"/>
      <c r="F22" s="40"/>
      <c r="G22" s="40"/>
      <c r="H22" s="40"/>
    </row>
    <row r="23" spans="2:8" s="5" customFormat="1" ht="14.1" customHeight="1">
      <c r="B23" s="41" t="str">
        <f>$E$5</f>
        <v>Sewer Revenue</v>
      </c>
      <c r="C23" s="41"/>
      <c r="D23" s="40"/>
      <c r="E23" s="255">
        <v>0.02</v>
      </c>
      <c r="F23" s="40"/>
      <c r="G23" s="40"/>
      <c r="H23" s="40"/>
    </row>
    <row r="24" spans="2:8" s="5" customFormat="1" ht="14.1" customHeight="1">
      <c r="B24" s="46" t="s">
        <v>19</v>
      </c>
      <c r="C24" s="47"/>
      <c r="D24" s="47"/>
      <c r="E24" s="65">
        <v>737696</v>
      </c>
      <c r="G24" s="40"/>
      <c r="H24" s="40"/>
    </row>
    <row r="25" spans="2:8" s="5" customFormat="1" ht="14.1" customHeight="1">
      <c r="B25" s="64" t="s">
        <v>20</v>
      </c>
      <c r="C25" s="57"/>
      <c r="D25" s="57"/>
      <c r="E25" s="48">
        <v>756643</v>
      </c>
      <c r="G25" s="40"/>
      <c r="H25" s="40"/>
    </row>
    <row r="26" spans="2:8" s="5" customFormat="1" ht="14.1" customHeight="1">
      <c r="B26" s="40" t="s">
        <v>21</v>
      </c>
      <c r="C26" s="41"/>
      <c r="D26" s="41"/>
      <c r="E26" s="48">
        <v>970222</v>
      </c>
      <c r="F26" s="40"/>
      <c r="G26" s="40"/>
      <c r="H26" s="40"/>
    </row>
    <row r="27" spans="2:8" s="5" customFormat="1" ht="14.1" customHeight="1">
      <c r="B27" s="40" t="s">
        <v>22</v>
      </c>
      <c r="C27" s="41"/>
      <c r="D27" s="41"/>
      <c r="E27" s="48">
        <v>0</v>
      </c>
      <c r="F27" s="40"/>
      <c r="G27" s="40"/>
      <c r="H27" s="40"/>
    </row>
    <row r="28" spans="2:8" s="5" customFormat="1" ht="14.1" customHeight="1" thickBot="1">
      <c r="B28" s="49" t="s">
        <v>10</v>
      </c>
      <c r="C28" s="49"/>
      <c r="D28" s="49"/>
      <c r="E28" s="50">
        <f>SUM(E24:E27)</f>
        <v>2464561</v>
      </c>
      <c r="F28" s="40"/>
      <c r="G28" s="40"/>
      <c r="H28" s="40"/>
    </row>
    <row r="29" spans="2:8" s="5" customFormat="1" ht="14.1" customHeight="1" thickTop="1">
      <c r="B29" s="40"/>
      <c r="C29" s="41"/>
      <c r="E29" s="40"/>
      <c r="F29" s="40"/>
      <c r="G29" s="40"/>
      <c r="H29" s="40"/>
    </row>
    <row r="30" spans="2:8" s="5" customFormat="1" ht="14.1" customHeight="1">
      <c r="B30" s="41" t="s">
        <v>11</v>
      </c>
      <c r="C30" s="52">
        <f>ROUNDUP(E28,-$B$31)</f>
        <v>2470000</v>
      </c>
      <c r="F30" s="40"/>
      <c r="G30" s="40"/>
      <c r="H30" s="40"/>
    </row>
    <row r="31" spans="2:8" s="5" customFormat="1" ht="14.1" customHeight="1">
      <c r="B31" s="51">
        <v>4</v>
      </c>
      <c r="C31" s="41"/>
      <c r="D31" s="40"/>
      <c r="E31" s="40"/>
      <c r="F31" s="40"/>
      <c r="G31" s="40"/>
      <c r="H31" s="40"/>
    </row>
    <row r="32" spans="2:8" s="5" customFormat="1" ht="14.1" customHeight="1">
      <c r="B32" s="40"/>
      <c r="C32" s="41"/>
      <c r="D32" s="40"/>
      <c r="E32" s="40"/>
      <c r="F32" s="40"/>
      <c r="G32" s="40"/>
      <c r="H32" s="40"/>
    </row>
    <row r="33" spans="2:8" s="5" customFormat="1" ht="14.1" customHeight="1">
      <c r="B33" s="40"/>
      <c r="C33" s="41"/>
      <c r="D33" s="40"/>
      <c r="E33" s="53" t="s">
        <v>12</v>
      </c>
      <c r="F33" s="54" t="s">
        <v>13</v>
      </c>
      <c r="G33" s="54" t="s">
        <v>14</v>
      </c>
      <c r="H33" s="55" t="s">
        <v>15</v>
      </c>
    </row>
    <row r="34" spans="2:8" s="5" customFormat="1" ht="14.1" customHeight="1">
      <c r="B34" s="36"/>
      <c r="C34" s="36"/>
      <c r="D34" s="36"/>
      <c r="E34" s="53" t="str">
        <f>"FY "&amp;MASTER!$B$4-1&amp;" - "&amp;MASTER!$B$4</f>
        <v>FY 2020 - 2021</v>
      </c>
      <c r="F34" s="56">
        <f>MASTER!$B$6</f>
        <v>44255</v>
      </c>
      <c r="G34" s="54" t="str">
        <f>"June "&amp;MASTER!$B$4</f>
        <v>June 2021</v>
      </c>
      <c r="H34" s="55" t="str">
        <f>"FY "&amp;MASTER!$B$4&amp;" - "&amp;MASTER!$B$5</f>
        <v>FY 2021 - 2022</v>
      </c>
    </row>
    <row r="35" spans="2:8" s="5" customFormat="1" ht="14.1" customHeight="1">
      <c r="B35" s="57"/>
      <c r="C35" s="57"/>
      <c r="D35" s="58"/>
      <c r="E35" s="59"/>
      <c r="F35" s="60"/>
      <c r="G35" s="60"/>
      <c r="H35" s="58"/>
    </row>
    <row r="36" spans="2:8" s="5" customFormat="1" ht="14.1" customHeight="1">
      <c r="B36" s="40" t="str">
        <f>$E$5</f>
        <v>Sewer Revenue</v>
      </c>
      <c r="C36" s="41"/>
      <c r="D36" s="58"/>
      <c r="E36" s="61">
        <v>2400000</v>
      </c>
      <c r="F36" s="62">
        <v>1406382</v>
      </c>
      <c r="G36" s="62">
        <v>2330000</v>
      </c>
      <c r="H36" s="63">
        <f>$C$30</f>
        <v>2470000</v>
      </c>
    </row>
    <row r="37" spans="2:8" s="5" customFormat="1" ht="14.1" customHeight="1">
      <c r="B37" s="40"/>
      <c r="C37" s="41"/>
      <c r="D37" s="58"/>
      <c r="E37" s="59"/>
      <c r="F37" s="60"/>
      <c r="G37" s="60"/>
      <c r="H37" s="58"/>
    </row>
    <row r="38" spans="2:8" s="5" customFormat="1" ht="14.1" customHeight="1">
      <c r="B38" s="40"/>
      <c r="C38" s="41"/>
      <c r="D38" s="58"/>
      <c r="E38" s="59"/>
      <c r="F38" s="60"/>
      <c r="G38" s="60"/>
      <c r="H38" s="58"/>
    </row>
    <row r="39" spans="2:8" s="5" customFormat="1" ht="14.1" customHeight="1">
      <c r="B39" s="40"/>
      <c r="C39" s="41"/>
      <c r="D39" s="58"/>
      <c r="E39" s="59"/>
      <c r="F39" s="60"/>
      <c r="G39" s="60"/>
      <c r="H39" s="58"/>
    </row>
    <row r="40" spans="2:8" s="5" customFormat="1" ht="14.1" customHeight="1">
      <c r="B40" s="40"/>
      <c r="C40" s="41"/>
      <c r="D40" s="58"/>
      <c r="E40" s="59"/>
      <c r="F40" s="60"/>
      <c r="G40" s="60"/>
      <c r="H40" s="58"/>
    </row>
    <row r="41" spans="2:8" s="5" customFormat="1" ht="14.1" customHeight="1">
      <c r="B41" s="40"/>
      <c r="C41" s="41"/>
      <c r="D41" s="63"/>
      <c r="E41" s="63"/>
      <c r="F41" s="63"/>
      <c r="G41" s="63"/>
      <c r="H41" s="63"/>
    </row>
    <row r="42" spans="2:8" s="5" customFormat="1" ht="14.1" customHeight="1">
      <c r="B42" s="2"/>
      <c r="C42" s="1"/>
      <c r="D42" s="63"/>
      <c r="E42" s="63"/>
      <c r="F42" s="63"/>
      <c r="G42" s="63"/>
      <c r="H42" s="63"/>
    </row>
    <row r="43" spans="2:8" s="5" customFormat="1" ht="14.1" customHeight="1">
      <c r="B43" s="2"/>
      <c r="C43" s="1"/>
      <c r="D43" s="63"/>
      <c r="E43" s="63"/>
      <c r="F43" s="63"/>
      <c r="G43" s="63"/>
      <c r="H43" s="63"/>
    </row>
    <row r="44" spans="2:8" s="5" customFormat="1" ht="14.1" customHeight="1">
      <c r="C44" s="3"/>
      <c r="D44" s="63"/>
      <c r="E44" s="63"/>
      <c r="F44" s="63"/>
      <c r="G44" s="63"/>
      <c r="H44" s="63"/>
    </row>
    <row r="45" spans="2:8" s="5" customFormat="1" ht="14.1" customHeight="1">
      <c r="C45" s="3"/>
    </row>
    <row r="46" spans="2:8" s="5" customFormat="1" ht="14.1" customHeight="1"/>
    <row r="47" spans="2:8" s="5" customFormat="1" ht="14.1" customHeight="1">
      <c r="E47" s="20"/>
    </row>
    <row r="48" spans="2:8" s="5" customFormat="1" ht="12.75" customHeight="1">
      <c r="E48" s="20"/>
    </row>
    <row r="49" spans="4:253" s="5" customFormat="1" ht="12.75" customHeight="1">
      <c r="E49" s="20"/>
    </row>
    <row r="50" spans="4:253" s="5" customFormat="1" ht="12.75" customHeight="1">
      <c r="E50" s="20"/>
      <c r="F50" s="6"/>
    </row>
    <row r="51" spans="4:253" s="5" customFormat="1" ht="12.75" customHeight="1">
      <c r="E51" s="20"/>
    </row>
    <row r="52" spans="4:253" s="5" customFormat="1" ht="12.75" customHeight="1">
      <c r="D52" s="21"/>
      <c r="E52" s="20"/>
    </row>
    <row r="53" spans="4:253" s="5" customFormat="1" ht="12.75" customHeight="1">
      <c r="D53" s="21"/>
      <c r="E53" s="20"/>
    </row>
    <row r="54" spans="4:253" s="5" customFormat="1" ht="12.75" customHeight="1">
      <c r="E54" s="20"/>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row>
    <row r="55" spans="4:253" s="5" customFormat="1" ht="12.75" customHeight="1">
      <c r="D55" s="21"/>
      <c r="E55" s="20"/>
    </row>
    <row r="56" spans="4:253" s="5" customFormat="1" ht="12.75" customHeight="1">
      <c r="E56" s="20"/>
    </row>
    <row r="57" spans="4:253" ht="12.75" customHeight="1">
      <c r="E57" s="20"/>
    </row>
    <row r="58" spans="4:253" ht="12.75" customHeight="1">
      <c r="E58" s="4"/>
    </row>
    <row r="59" spans="4:253">
      <c r="E59" s="3"/>
    </row>
    <row r="71" spans="4:5">
      <c r="D71" s="3"/>
      <c r="E71" s="3"/>
    </row>
  </sheetData>
  <mergeCells count="4">
    <mergeCell ref="E4:F4"/>
    <mergeCell ref="E5:F5"/>
    <mergeCell ref="B13:H14"/>
    <mergeCell ref="B17:H19"/>
  </mergeCells>
  <dataValidations count="1">
    <dataValidation type="list" allowBlank="1" showInputMessage="1" showErrorMessage="1" sqref="E4" xr:uid="{00000000-0002-0000-0700-000000000000}">
      <formula1>enterprise</formula1>
    </dataValidation>
  </dataValidations>
  <pageMargins left="0.7" right="0.7" top="0.75" bottom="0.75" header="0.3" footer="0.3"/>
  <pageSetup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B2:IS64"/>
  <sheetViews>
    <sheetView workbookViewId="0">
      <selection activeCell="H33" sqref="H33"/>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E32</f>
        <v>1500</v>
      </c>
      <c r="K2" s="120">
        <f t="shared" ref="K2:M2" si="0">F32</f>
        <v>360</v>
      </c>
      <c r="L2" s="120">
        <f t="shared" si="0"/>
        <v>1500</v>
      </c>
      <c r="M2" s="120">
        <f t="shared" si="0"/>
        <v>1500</v>
      </c>
    </row>
    <row r="3" spans="2:13" ht="14.1" customHeight="1">
      <c r="B3" s="40"/>
      <c r="C3" s="40"/>
      <c r="D3" s="40"/>
      <c r="E3" s="40"/>
      <c r="F3" s="40"/>
      <c r="G3" s="40"/>
      <c r="H3" s="40"/>
      <c r="J3" s="121">
        <f>C37</f>
        <v>0.33</v>
      </c>
      <c r="K3" s="121"/>
      <c r="L3" s="121"/>
      <c r="M3" s="121"/>
    </row>
    <row r="4" spans="2:13" ht="23.25" customHeight="1">
      <c r="B4" s="40"/>
      <c r="C4" s="40"/>
      <c r="D4" s="40"/>
      <c r="E4" s="316" t="s">
        <v>118</v>
      </c>
      <c r="F4" s="316"/>
      <c r="G4" s="41"/>
      <c r="H4" s="40"/>
      <c r="J4" s="121">
        <f t="shared" ref="J4:J6" si="1">C38</f>
        <v>0.34</v>
      </c>
    </row>
    <row r="5" spans="2:13" ht="14.1" customHeight="1">
      <c r="B5" s="42"/>
      <c r="C5" s="42"/>
      <c r="D5" s="312" t="str">
        <f>'Operating Budget'!B46</f>
        <v>Signs &amp; Banners</v>
      </c>
      <c r="E5" s="312"/>
      <c r="F5" s="312"/>
      <c r="G5" s="312"/>
      <c r="H5" s="43"/>
      <c r="J5" s="121">
        <f t="shared" si="1"/>
        <v>0.33</v>
      </c>
    </row>
    <row r="6" spans="2:13" ht="19.5" customHeight="1">
      <c r="B6" s="40"/>
      <c r="C6" s="40"/>
      <c r="D6" s="40"/>
      <c r="E6" s="40"/>
      <c r="H6" s="40"/>
      <c r="J6" s="121">
        <f t="shared" si="1"/>
        <v>0</v>
      </c>
    </row>
    <row r="7" spans="2:13" ht="14.1" hidden="1" customHeight="1">
      <c r="B7" s="40"/>
      <c r="C7" s="40"/>
      <c r="D7" s="40"/>
      <c r="E7" s="40"/>
      <c r="F7" s="44"/>
      <c r="G7" s="44"/>
      <c r="H7" s="40"/>
    </row>
    <row r="8" spans="2:13" ht="14.1" customHeight="1">
      <c r="B8" s="41" t="s">
        <v>2</v>
      </c>
      <c r="C8" s="40">
        <f>'Operating Budget'!C46</f>
        <v>4350</v>
      </c>
      <c r="D8" s="40"/>
      <c r="E8" s="40"/>
      <c r="F8" s="40"/>
      <c r="G8" s="202"/>
      <c r="H8" s="40"/>
    </row>
    <row r="9" spans="2:13" ht="14.1" customHeight="1">
      <c r="B9" s="41" t="s">
        <v>3</v>
      </c>
      <c r="C9" s="40">
        <f>INDEX('Operating Budget'!$A$11:$A$107,MATCH('20'!C8,'Operating Budget'!C11:C107))</f>
        <v>20</v>
      </c>
      <c r="D9" s="40"/>
      <c r="E9" s="40"/>
      <c r="F9" s="40"/>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136</v>
      </c>
      <c r="C13" s="319"/>
      <c r="D13" s="319"/>
      <c r="E13" s="319"/>
      <c r="F13" s="319"/>
      <c r="G13" s="319"/>
      <c r="H13" s="319"/>
    </row>
    <row r="14" spans="2:13" ht="14.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t="s">
        <v>43</v>
      </c>
      <c r="C17" s="319"/>
      <c r="D17" s="319"/>
      <c r="E17" s="319"/>
      <c r="F17" s="319"/>
      <c r="G17" s="319"/>
      <c r="H17" s="319"/>
    </row>
    <row r="18" spans="2:13" ht="14.1" hidden="1" customHeight="1">
      <c r="B18" s="319"/>
      <c r="C18" s="319"/>
      <c r="D18" s="319"/>
      <c r="E18" s="319"/>
      <c r="F18" s="319"/>
      <c r="G18" s="319"/>
      <c r="H18" s="319"/>
    </row>
    <row r="19" spans="2:13" ht="14.1" customHeight="1">
      <c r="B19" s="310"/>
      <c r="C19" s="310"/>
      <c r="D19" s="310"/>
      <c r="E19" s="310"/>
      <c r="F19" s="310"/>
      <c r="G19" s="310"/>
      <c r="H19" s="310"/>
    </row>
    <row r="20" spans="2:13" s="5" customFormat="1" ht="14.1" customHeight="1">
      <c r="B20" s="36" t="s">
        <v>7</v>
      </c>
      <c r="C20" s="37"/>
      <c r="D20" s="37"/>
      <c r="E20" s="37"/>
      <c r="F20" s="37"/>
      <c r="G20" s="37"/>
      <c r="H20" s="38"/>
    </row>
    <row r="21" spans="2:13" s="5" customFormat="1" ht="14.1" customHeight="1">
      <c r="B21" s="40"/>
      <c r="C21" s="41"/>
      <c r="D21" s="40"/>
      <c r="E21" s="40"/>
      <c r="F21" s="40"/>
      <c r="G21" s="40"/>
      <c r="H21" s="40"/>
    </row>
    <row r="22" spans="2:13" s="5" customFormat="1" ht="14.1" customHeight="1">
      <c r="B22" s="67" t="str">
        <f>$D$5</f>
        <v>Signs &amp; Banners</v>
      </c>
      <c r="C22" s="67"/>
      <c r="D22" s="68"/>
      <c r="E22" s="68"/>
      <c r="F22" s="68" t="s">
        <v>10</v>
      </c>
      <c r="G22" s="69" t="s">
        <v>31</v>
      </c>
      <c r="H22" s="40"/>
      <c r="J22" s="73" t="s">
        <v>32</v>
      </c>
      <c r="K22" s="73" t="s">
        <v>33</v>
      </c>
      <c r="L22" s="73" t="s">
        <v>34</v>
      </c>
      <c r="M22" s="73" t="s">
        <v>35</v>
      </c>
    </row>
    <row r="23" spans="2:13" s="5" customFormat="1" ht="14.1" customHeight="1">
      <c r="B23" s="64" t="s">
        <v>137</v>
      </c>
      <c r="C23" s="57"/>
      <c r="D23" s="80"/>
      <c r="E23" s="66"/>
      <c r="F23" s="66">
        <v>1500</v>
      </c>
      <c r="G23" s="71" t="s">
        <v>128</v>
      </c>
      <c r="H23" s="40"/>
      <c r="J23" s="74">
        <f>INDEX(MASTER!$C$25:$F$42,MATCH($G23,allocation,0),MATCH(J$22,MASTER!$C$24:$F$24,0))</f>
        <v>0.33</v>
      </c>
      <c r="K23" s="74">
        <f>INDEX(MASTER!$C$25:$F$42,MATCH($G23,allocation,0),MATCH(K$22,MASTER!$C$24:$F$24,0))</f>
        <v>0.34</v>
      </c>
      <c r="L23" s="74">
        <f>INDEX(MASTER!$C$25:$F$42,MATCH($G23,allocation,0),MATCH(L$22,MASTER!$C$24:$F$24,0))</f>
        <v>0.33</v>
      </c>
      <c r="M23" s="74">
        <f>INDEX(MASTER!$C$25:$F$42,MATCH($G23,allocation,0),MATCH(M$22,MASTER!$C$24:$F$24,0))</f>
        <v>0</v>
      </c>
    </row>
    <row r="24" spans="2:13" s="5" customFormat="1" ht="14.1" customHeight="1" thickBot="1">
      <c r="B24" s="49" t="s">
        <v>10</v>
      </c>
      <c r="C24" s="49"/>
      <c r="D24" s="49"/>
      <c r="E24" s="49"/>
      <c r="F24" s="50">
        <f>SUM(F23:F23)</f>
        <v>1500</v>
      </c>
      <c r="G24" s="49"/>
      <c r="H24" s="40"/>
    </row>
    <row r="25" spans="2:13" s="5" customFormat="1" ht="14.1" customHeight="1" thickTop="1">
      <c r="B25" s="40"/>
      <c r="C25" s="41"/>
      <c r="G25" s="40"/>
      <c r="H25" s="40"/>
    </row>
    <row r="26" spans="2:13" s="5" customFormat="1" ht="14.1" customHeight="1">
      <c r="B26" s="41" t="s">
        <v>11</v>
      </c>
      <c r="C26" s="35">
        <f>ROUNDUP($F$24,-$B$27)</f>
        <v>1500</v>
      </c>
      <c r="F26" s="40"/>
      <c r="G26" s="40"/>
      <c r="H26" s="40"/>
    </row>
    <row r="27" spans="2:13" s="5" customFormat="1" ht="14.1" customHeight="1">
      <c r="B27" s="51">
        <v>2</v>
      </c>
      <c r="C27" s="41"/>
      <c r="D27" s="40"/>
      <c r="E27" s="40"/>
      <c r="F27" s="40"/>
      <c r="G27" s="40"/>
      <c r="H27" s="40"/>
    </row>
    <row r="28" spans="2:13" s="5" customFormat="1" ht="14.1" customHeight="1">
      <c r="B28" s="40"/>
      <c r="C28" s="41"/>
      <c r="D28" s="40"/>
      <c r="E28" s="40"/>
      <c r="F28" s="40"/>
      <c r="G28" s="40"/>
      <c r="H28" s="40"/>
    </row>
    <row r="29" spans="2:13" s="5" customFormat="1" ht="14.1" customHeight="1">
      <c r="B29" s="40"/>
      <c r="C29" s="41"/>
      <c r="D29" s="40"/>
      <c r="E29" s="53" t="s">
        <v>12</v>
      </c>
      <c r="F29" s="54" t="s">
        <v>13</v>
      </c>
      <c r="G29" s="54" t="s">
        <v>14</v>
      </c>
      <c r="H29" s="55" t="s">
        <v>15</v>
      </c>
    </row>
    <row r="30" spans="2:13" s="5" customFormat="1" ht="14.1" customHeight="1">
      <c r="B30" s="36"/>
      <c r="C30" s="36"/>
      <c r="D30" s="36"/>
      <c r="E30" s="53" t="str">
        <f>"FY "&amp;MASTER!$B$4-1&amp;" - "&amp;MASTER!$B$4</f>
        <v>FY 2020 - 2021</v>
      </c>
      <c r="F30" s="56">
        <f>MASTER!$B$6</f>
        <v>44255</v>
      </c>
      <c r="G30" s="54" t="str">
        <f>"June "&amp;MASTER!$B$4</f>
        <v>June 2021</v>
      </c>
      <c r="H30" s="55" t="str">
        <f>"FY "&amp;MASTER!$B$4&amp;" - "&amp;MASTER!$B$5</f>
        <v>FY 2021 - 2022</v>
      </c>
    </row>
    <row r="31" spans="2:13" s="5" customFormat="1" ht="14.1" customHeight="1">
      <c r="B31" s="57"/>
      <c r="C31" s="57"/>
      <c r="D31" s="58"/>
      <c r="E31" s="59"/>
      <c r="F31" s="60"/>
      <c r="G31" s="60"/>
      <c r="H31" s="58"/>
    </row>
    <row r="32" spans="2:13" s="5" customFormat="1" ht="14.1" customHeight="1">
      <c r="B32" s="40" t="str">
        <f>$D$5</f>
        <v>Signs &amp; Banners</v>
      </c>
      <c r="C32" s="41"/>
      <c r="D32" s="58"/>
      <c r="E32" s="61">
        <v>1500</v>
      </c>
      <c r="F32" s="62">
        <v>360</v>
      </c>
      <c r="G32" s="62">
        <v>1500</v>
      </c>
      <c r="H32" s="63">
        <f>C26</f>
        <v>1500</v>
      </c>
    </row>
    <row r="33" spans="2:253" s="5" customFormat="1" ht="14.1" customHeight="1">
      <c r="B33" s="40"/>
      <c r="C33" s="41"/>
      <c r="D33" s="58"/>
      <c r="E33" s="59"/>
      <c r="F33" s="59"/>
      <c r="G33" s="58"/>
      <c r="H33" s="82"/>
    </row>
    <row r="34" spans="2:253" s="5" customFormat="1" ht="14.1" customHeight="1">
      <c r="B34" s="40"/>
      <c r="C34" s="41"/>
      <c r="D34" s="58"/>
      <c r="E34" s="58"/>
      <c r="F34" s="58"/>
      <c r="G34" s="58"/>
      <c r="H34" s="63"/>
    </row>
    <row r="35" spans="2:253" s="5" customFormat="1" ht="14.1" customHeight="1">
      <c r="B35" s="2"/>
      <c r="C35" s="1"/>
    </row>
    <row r="36" spans="2:253" s="5" customFormat="1" ht="14.1" customHeight="1">
      <c r="B36" s="36" t="s">
        <v>39</v>
      </c>
      <c r="C36" s="36"/>
      <c r="D36" s="55" t="s">
        <v>40</v>
      </c>
      <c r="E36" s="55" t="s">
        <v>41</v>
      </c>
    </row>
    <row r="37" spans="2:253" s="5" customFormat="1" ht="14.1" customHeight="1">
      <c r="B37" s="75" t="s">
        <v>32</v>
      </c>
      <c r="C37" s="84">
        <f>E37/E41</f>
        <v>0.33</v>
      </c>
      <c r="D37" s="78">
        <f>SUMPRODUCT($F$23:$F$23,$J$23:$J$23)</f>
        <v>495</v>
      </c>
      <c r="E37" s="78">
        <f>$D37+($C$26-SUM($D$37:$D$40))*($D37/$D$41)</f>
        <v>495</v>
      </c>
    </row>
    <row r="38" spans="2:253" s="5" customFormat="1" ht="14.1" customHeight="1">
      <c r="B38" s="75" t="s">
        <v>33</v>
      </c>
      <c r="C38" s="84">
        <f>E38/E41</f>
        <v>0.34</v>
      </c>
      <c r="D38" s="78">
        <f>SUMPRODUCT($F$23:$F$23,$K$23:$K$23)</f>
        <v>510.00000000000006</v>
      </c>
      <c r="E38" s="78">
        <f>$D38+($C$26-SUM($D$37:$D$40))*($D38/$D$41)</f>
        <v>510.00000000000006</v>
      </c>
    </row>
    <row r="39" spans="2:253" s="5" customFormat="1" ht="14.1" customHeight="1">
      <c r="B39" s="75" t="s">
        <v>34</v>
      </c>
      <c r="C39" s="84">
        <f>E39/E41</f>
        <v>0.33</v>
      </c>
      <c r="D39" s="78">
        <f>SUMPRODUCT($F$23:$F$23,$L$23:$L$23)</f>
        <v>495</v>
      </c>
      <c r="E39" s="78">
        <f>$D39+($C$26-SUM($D$37:$D$40))*($D39/$D$41)</f>
        <v>495</v>
      </c>
    </row>
    <row r="40" spans="2:253" s="5" customFormat="1" ht="14.1" customHeight="1">
      <c r="B40" s="75" t="s">
        <v>35</v>
      </c>
      <c r="C40" s="84">
        <f>E40/E41</f>
        <v>0</v>
      </c>
      <c r="D40" s="78">
        <f>SUMPRODUCT($F$23:$F$23,$M$23:$M$23)</f>
        <v>0</v>
      </c>
      <c r="E40" s="78">
        <f>$D40+($C$26-SUM($D$37:$D$40))*($D40/$D$41)</f>
        <v>0</v>
      </c>
    </row>
    <row r="41" spans="2:253" s="5" customFormat="1" ht="12.75" customHeight="1">
      <c r="B41" s="77" t="s">
        <v>10</v>
      </c>
      <c r="C41" s="85">
        <f>SUM(C37:C40)</f>
        <v>1</v>
      </c>
      <c r="D41" s="79">
        <f>SUM(D37:D40)</f>
        <v>1500</v>
      </c>
      <c r="E41" s="79">
        <f>SUM(E37:E40)</f>
        <v>1500</v>
      </c>
    </row>
    <row r="42" spans="2:253" s="5" customFormat="1" ht="12.75" customHeight="1">
      <c r="B42" s="2"/>
      <c r="C42" s="2"/>
      <c r="D42" s="2"/>
      <c r="E42" s="76"/>
    </row>
    <row r="43" spans="2:253" s="5" customFormat="1" ht="12.75" customHeight="1">
      <c r="E43" s="20"/>
      <c r="F43" s="6"/>
    </row>
    <row r="44" spans="2:253" s="5" customFormat="1" ht="12.75" customHeight="1">
      <c r="E44" s="20"/>
    </row>
    <row r="45" spans="2:253" s="5" customFormat="1" ht="12.75" customHeight="1">
      <c r="D45" s="21"/>
      <c r="E45" s="20"/>
    </row>
    <row r="46" spans="2:253" s="5" customFormat="1" ht="12.75" customHeight="1">
      <c r="D46" s="21"/>
      <c r="E46" s="20"/>
    </row>
    <row r="47" spans="2:253" s="5" customFormat="1" ht="12.75" customHeight="1">
      <c r="E47" s="20"/>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row>
    <row r="48" spans="2:253" s="5" customFormat="1" ht="12.75" customHeight="1">
      <c r="D48" s="21"/>
      <c r="E48" s="20"/>
    </row>
    <row r="49" spans="4:5" s="5" customFormat="1" ht="12.75" customHeight="1">
      <c r="E49" s="20"/>
    </row>
    <row r="50" spans="4:5" ht="12.75" customHeight="1">
      <c r="E50" s="20"/>
    </row>
    <row r="51" spans="4:5" ht="12.75" customHeight="1">
      <c r="E51" s="4"/>
    </row>
    <row r="52" spans="4:5">
      <c r="E52" s="3"/>
    </row>
    <row r="64" spans="4:5">
      <c r="D64" s="3"/>
      <c r="E64" s="3"/>
    </row>
  </sheetData>
  <mergeCells count="4">
    <mergeCell ref="E4:F4"/>
    <mergeCell ref="D5:G5"/>
    <mergeCell ref="B13:H14"/>
    <mergeCell ref="B17:H18"/>
  </mergeCells>
  <dataValidations count="2">
    <dataValidation type="list" allowBlank="1" showInputMessage="1" showErrorMessage="1" sqref="G23" xr:uid="{00000000-0002-0000-1900-000000000000}">
      <formula1>allocation</formula1>
    </dataValidation>
    <dataValidation type="list" allowBlank="1" showInputMessage="1" showErrorMessage="1" sqref="E4" xr:uid="{00000000-0002-0000-1900-000001000000}">
      <formula1>enterprise</formula1>
    </dataValidation>
  </dataValidations>
  <pageMargins left="0.7" right="0.7" top="0.75" bottom="0.75" header="0.3" footer="0.3"/>
  <pageSetup scale="94"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B2:IS67"/>
  <sheetViews>
    <sheetView workbookViewId="0">
      <selection activeCell="H36" sqref="H36"/>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E35</f>
        <v>4500</v>
      </c>
      <c r="K2" s="120">
        <f t="shared" ref="K2:M2" si="0">F35</f>
        <v>3125</v>
      </c>
      <c r="L2" s="120">
        <f t="shared" si="0"/>
        <v>4000</v>
      </c>
      <c r="M2" s="120">
        <f t="shared" si="0"/>
        <v>4500</v>
      </c>
    </row>
    <row r="3" spans="2:13" ht="14.1" customHeight="1">
      <c r="B3" s="40"/>
      <c r="C3" s="40"/>
      <c r="D3" s="40"/>
      <c r="E3" s="40"/>
      <c r="F3" s="40"/>
      <c r="G3" s="40"/>
      <c r="H3" s="40"/>
      <c r="J3" s="121">
        <f>C40</f>
        <v>0</v>
      </c>
      <c r="K3" s="121"/>
      <c r="L3" s="121"/>
      <c r="M3" s="121"/>
    </row>
    <row r="4" spans="2:13" ht="23.25" customHeight="1">
      <c r="B4" s="40"/>
      <c r="C4" s="40"/>
      <c r="D4" s="40"/>
      <c r="E4" s="316" t="s">
        <v>138</v>
      </c>
      <c r="F4" s="316"/>
      <c r="G4" s="41"/>
      <c r="H4" s="40"/>
      <c r="J4" s="121">
        <f t="shared" ref="J4:J6" si="1">C41</f>
        <v>0</v>
      </c>
    </row>
    <row r="5" spans="2:13" ht="14.1" customHeight="1">
      <c r="B5" s="42"/>
      <c r="C5" s="42"/>
      <c r="D5" s="312" t="str">
        <f>'Operating Budget'!B47</f>
        <v>Public Landscaping</v>
      </c>
      <c r="E5" s="312"/>
      <c r="F5" s="312"/>
      <c r="G5" s="312"/>
      <c r="H5" s="43"/>
      <c r="J5" s="121">
        <f t="shared" si="1"/>
        <v>0</v>
      </c>
    </row>
    <row r="6" spans="2:13" ht="19.5" customHeight="1">
      <c r="B6" s="40"/>
      <c r="C6" s="40"/>
      <c r="D6" s="40"/>
      <c r="E6" s="40"/>
      <c r="H6" s="40"/>
      <c r="J6" s="121">
        <f t="shared" si="1"/>
        <v>1</v>
      </c>
    </row>
    <row r="7" spans="2:13" ht="14.1" hidden="1" customHeight="1">
      <c r="B7" s="40"/>
      <c r="C7" s="40"/>
      <c r="D7" s="40"/>
      <c r="E7" s="40"/>
      <c r="F7" s="44"/>
      <c r="G7" s="44"/>
      <c r="H7" s="40"/>
    </row>
    <row r="8" spans="2:13" ht="14.1" customHeight="1">
      <c r="B8" s="41" t="s">
        <v>2</v>
      </c>
      <c r="C8" s="40">
        <f>'Operating Budget'!C47</f>
        <v>4360</v>
      </c>
      <c r="D8" s="40"/>
      <c r="E8" s="40"/>
      <c r="F8" s="40"/>
      <c r="G8" s="40"/>
      <c r="H8" s="40"/>
    </row>
    <row r="9" spans="2:13" ht="14.1" customHeight="1">
      <c r="B9" s="41" t="s">
        <v>3</v>
      </c>
      <c r="C9" s="40">
        <f>INDEX('Operating Budget'!$A$11:$A$107,MATCH('21'!C8,'Operating Budget'!C11:C107))</f>
        <v>21</v>
      </c>
      <c r="D9" s="40"/>
      <c r="E9" s="40"/>
      <c r="F9" s="202"/>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139</v>
      </c>
      <c r="C13" s="319"/>
      <c r="D13" s="319"/>
      <c r="E13" s="319"/>
      <c r="F13" s="319"/>
      <c r="G13" s="319"/>
      <c r="H13" s="319"/>
    </row>
    <row r="14" spans="2:13" ht="14.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t="s">
        <v>140</v>
      </c>
      <c r="C17" s="319"/>
      <c r="D17" s="319"/>
      <c r="E17" s="319"/>
      <c r="F17" s="319"/>
      <c r="G17" s="319"/>
      <c r="H17" s="319"/>
    </row>
    <row r="18" spans="2:13" ht="14.1" hidden="1" customHeight="1">
      <c r="B18" s="319"/>
      <c r="C18" s="319"/>
      <c r="D18" s="319"/>
      <c r="E18" s="319"/>
      <c r="F18" s="319"/>
      <c r="G18" s="319"/>
      <c r="H18" s="319"/>
    </row>
    <row r="19" spans="2:13" ht="14.1" customHeight="1">
      <c r="B19" s="310"/>
      <c r="C19" s="310"/>
      <c r="D19" s="310"/>
      <c r="E19" s="310"/>
      <c r="F19" s="310"/>
      <c r="G19" s="310"/>
      <c r="H19" s="310"/>
    </row>
    <row r="20" spans="2:13" s="5" customFormat="1" ht="14.1" customHeight="1">
      <c r="B20" s="36" t="s">
        <v>7</v>
      </c>
      <c r="C20" s="37"/>
      <c r="D20" s="37"/>
      <c r="E20" s="37"/>
      <c r="F20" s="37"/>
      <c r="G20" s="37"/>
      <c r="H20" s="38"/>
    </row>
    <row r="21" spans="2:13" s="5" customFormat="1" ht="14.1" customHeight="1">
      <c r="B21" s="40"/>
      <c r="C21" s="41"/>
      <c r="D21" s="40"/>
      <c r="E21" s="40"/>
      <c r="F21" s="40"/>
      <c r="G21" s="40"/>
      <c r="H21" s="40"/>
    </row>
    <row r="22" spans="2:13" s="5" customFormat="1" ht="14.1" customHeight="1">
      <c r="B22" s="67" t="str">
        <f>$D$5</f>
        <v>Public Landscaping</v>
      </c>
      <c r="C22" s="67"/>
      <c r="D22" s="68"/>
      <c r="E22" s="68"/>
      <c r="F22" s="68" t="s">
        <v>10</v>
      </c>
      <c r="G22" s="69" t="s">
        <v>31</v>
      </c>
      <c r="H22" s="40"/>
      <c r="J22" s="73" t="s">
        <v>32</v>
      </c>
      <c r="K22" s="73" t="s">
        <v>33</v>
      </c>
      <c r="L22" s="73" t="s">
        <v>34</v>
      </c>
      <c r="M22" s="73" t="s">
        <v>35</v>
      </c>
    </row>
    <row r="23" spans="2:13" s="5" customFormat="1" ht="14.1" customHeight="1">
      <c r="B23" s="64" t="s">
        <v>141</v>
      </c>
      <c r="C23" s="57"/>
      <c r="D23" s="80"/>
      <c r="E23" s="66"/>
      <c r="F23" s="66">
        <v>1500</v>
      </c>
      <c r="G23" s="71" t="s">
        <v>142</v>
      </c>
      <c r="H23" s="40"/>
      <c r="J23" s="74">
        <f>INDEX(MASTER!$C$25:$F$42,MATCH($G23,allocation,0),MATCH(J$22,MASTER!$C$24:$F$24,0))</f>
        <v>0</v>
      </c>
      <c r="K23" s="74">
        <f>INDEX(MASTER!$C$25:$F$42,MATCH($G23,allocation,0),MATCH(K$22,MASTER!$C$24:$F$24,0))</f>
        <v>0</v>
      </c>
      <c r="L23" s="74">
        <f>INDEX(MASTER!$C$25:$F$42,MATCH($G23,allocation,0),MATCH(L$22,MASTER!$C$24:$F$24,0))</f>
        <v>0</v>
      </c>
      <c r="M23" s="74">
        <f>INDEX(MASTER!$C$25:$F$42,MATCH($G23,allocation,0),MATCH(M$22,MASTER!$C$24:$F$24,0))</f>
        <v>1</v>
      </c>
    </row>
    <row r="24" spans="2:13" s="5" customFormat="1" ht="14.1" hidden="1" customHeight="1">
      <c r="B24" s="64"/>
      <c r="C24" s="57"/>
      <c r="D24" s="80"/>
      <c r="E24" s="66"/>
      <c r="F24" s="66">
        <v>0</v>
      </c>
      <c r="G24" s="71" t="s">
        <v>142</v>
      </c>
      <c r="H24" s="40"/>
      <c r="J24" s="74"/>
      <c r="K24" s="74"/>
      <c r="L24" s="74"/>
      <c r="M24" s="74"/>
    </row>
    <row r="25" spans="2:13" s="5" customFormat="1" ht="14.1" customHeight="1">
      <c r="B25" s="64" t="s">
        <v>143</v>
      </c>
      <c r="C25" s="57"/>
      <c r="D25" s="80"/>
      <c r="E25" s="66"/>
      <c r="F25" s="66">
        <v>1200</v>
      </c>
      <c r="G25" s="71" t="s">
        <v>142</v>
      </c>
      <c r="H25" s="40"/>
      <c r="J25" s="74"/>
      <c r="K25" s="74"/>
      <c r="L25" s="74"/>
      <c r="M25" s="74"/>
    </row>
    <row r="26" spans="2:13" s="5" customFormat="1" ht="14.1" customHeight="1">
      <c r="B26" s="64" t="s">
        <v>144</v>
      </c>
      <c r="C26" s="57"/>
      <c r="D26" s="80"/>
      <c r="E26" s="66"/>
      <c r="F26" s="66">
        <v>1800</v>
      </c>
      <c r="G26" s="81" t="s">
        <v>142</v>
      </c>
      <c r="H26" s="40"/>
      <c r="J26" s="74">
        <f>INDEX(MASTER!$C$25:$F$42,MATCH($G26,allocation,0),MATCH(J$22,MASTER!$C$24:$F$24,0))</f>
        <v>0</v>
      </c>
      <c r="K26" s="74">
        <f>INDEX(MASTER!$C$25:$F$42,MATCH($G26,allocation,0),MATCH(K$22,MASTER!$C$24:$F$24,0))</f>
        <v>0</v>
      </c>
      <c r="L26" s="74">
        <f>INDEX(MASTER!$C$25:$F$42,MATCH($G26,allocation,0),MATCH(L$22,MASTER!$C$24:$F$24,0))</f>
        <v>0</v>
      </c>
      <c r="M26" s="74">
        <f>INDEX(MASTER!$C$25:$F$42,MATCH($G26,allocation,0),MATCH(M$22,MASTER!$C$24:$F$24,0))</f>
        <v>1</v>
      </c>
    </row>
    <row r="27" spans="2:13" s="5" customFormat="1" ht="14.1" customHeight="1" thickBot="1">
      <c r="B27" s="49" t="s">
        <v>10</v>
      </c>
      <c r="C27" s="49"/>
      <c r="D27" s="49"/>
      <c r="E27" s="49"/>
      <c r="F27" s="50">
        <f>SUM(F23:F26)</f>
        <v>4500</v>
      </c>
      <c r="G27" s="49"/>
      <c r="H27" s="40"/>
    </row>
    <row r="28" spans="2:13" s="5" customFormat="1" ht="14.1" customHeight="1" thickTop="1">
      <c r="B28" s="40"/>
      <c r="C28" s="41"/>
      <c r="G28" s="40"/>
      <c r="H28" s="40"/>
    </row>
    <row r="29" spans="2:13" s="5" customFormat="1" ht="14.1" customHeight="1">
      <c r="B29" s="41" t="s">
        <v>11</v>
      </c>
      <c r="C29" s="35">
        <f>ROUNDUP($F$27,-$B$30)</f>
        <v>4500</v>
      </c>
      <c r="F29" s="40"/>
      <c r="G29" s="40"/>
      <c r="H29" s="40"/>
    </row>
    <row r="30" spans="2:13" s="5" customFormat="1" ht="14.1" customHeight="1">
      <c r="B30" s="51">
        <v>2</v>
      </c>
      <c r="C30" s="41"/>
      <c r="D30" s="40"/>
      <c r="E30" s="40"/>
      <c r="F30" s="40"/>
      <c r="G30" s="40"/>
      <c r="H30" s="40"/>
    </row>
    <row r="31" spans="2:13" s="5" customFormat="1" ht="14.1" customHeight="1">
      <c r="B31" s="40"/>
      <c r="C31" s="41"/>
      <c r="D31" s="40"/>
      <c r="E31" s="40"/>
      <c r="F31" s="40"/>
      <c r="G31" s="40"/>
      <c r="H31" s="40"/>
    </row>
    <row r="32" spans="2:13" s="5" customFormat="1" ht="14.1" customHeight="1">
      <c r="B32" s="40"/>
      <c r="C32" s="41"/>
      <c r="D32" s="202"/>
      <c r="E32" s="53" t="s">
        <v>12</v>
      </c>
      <c r="F32" s="54" t="s">
        <v>13</v>
      </c>
      <c r="G32" s="54" t="s">
        <v>14</v>
      </c>
      <c r="H32" s="55" t="s">
        <v>15</v>
      </c>
    </row>
    <row r="33" spans="2:8" s="5" customFormat="1" ht="14.1" customHeight="1">
      <c r="B33" s="36"/>
      <c r="C33" s="36"/>
      <c r="D33" s="36"/>
      <c r="E33" s="53" t="str">
        <f>"FY "&amp;MASTER!$B$4-1&amp;" - "&amp;MASTER!$B$4</f>
        <v>FY 2020 - 2021</v>
      </c>
      <c r="F33" s="56">
        <f>MASTER!$B$6</f>
        <v>44255</v>
      </c>
      <c r="G33" s="54" t="str">
        <f>"June "&amp;MASTER!$B$4</f>
        <v>June 2021</v>
      </c>
      <c r="H33" s="55" t="str">
        <f>"FY "&amp;MASTER!$B$4&amp;" - "&amp;MASTER!$B$5</f>
        <v>FY 2021 - 2022</v>
      </c>
    </row>
    <row r="34" spans="2:8" s="5" customFormat="1" ht="14.1" customHeight="1">
      <c r="B34" s="57"/>
      <c r="C34" s="57"/>
      <c r="D34" s="58"/>
      <c r="E34" s="59"/>
      <c r="F34" s="60"/>
      <c r="G34" s="60"/>
      <c r="H34" s="58"/>
    </row>
    <row r="35" spans="2:8" s="5" customFormat="1" ht="14.1" customHeight="1">
      <c r="B35" s="40" t="str">
        <f>$D$5</f>
        <v>Public Landscaping</v>
      </c>
      <c r="C35" s="41"/>
      <c r="D35" s="58"/>
      <c r="E35" s="61">
        <v>4500</v>
      </c>
      <c r="F35" s="62">
        <v>3125</v>
      </c>
      <c r="G35" s="62">
        <v>4000</v>
      </c>
      <c r="H35" s="63">
        <f>$C$29</f>
        <v>4500</v>
      </c>
    </row>
    <row r="36" spans="2:8" s="5" customFormat="1" ht="14.1" customHeight="1">
      <c r="B36" s="40"/>
      <c r="C36" s="41"/>
      <c r="D36" s="58"/>
      <c r="E36" s="59"/>
      <c r="F36" s="59"/>
      <c r="G36" s="58"/>
      <c r="H36" s="82"/>
    </row>
    <row r="37" spans="2:8" s="5" customFormat="1" ht="14.1" customHeight="1">
      <c r="B37" s="40"/>
      <c r="C37" s="41"/>
      <c r="D37" s="58"/>
      <c r="E37" s="58"/>
      <c r="F37" s="58"/>
      <c r="G37" s="237"/>
      <c r="H37" s="238"/>
    </row>
    <row r="38" spans="2:8" s="5" customFormat="1" ht="14.1" customHeight="1">
      <c r="B38" s="2"/>
      <c r="C38" s="1"/>
    </row>
    <row r="39" spans="2:8" s="5" customFormat="1" ht="14.1" customHeight="1">
      <c r="B39" s="36" t="s">
        <v>39</v>
      </c>
      <c r="C39" s="36"/>
      <c r="D39" s="55" t="s">
        <v>40</v>
      </c>
      <c r="E39" s="55" t="s">
        <v>41</v>
      </c>
    </row>
    <row r="40" spans="2:8" s="5" customFormat="1" ht="14.1" customHeight="1">
      <c r="B40" s="75" t="s">
        <v>32</v>
      </c>
      <c r="C40" s="84">
        <f>E40/E44</f>
        <v>0</v>
      </c>
      <c r="D40" s="78">
        <f>SUMPRODUCT($F$23:$F$26,$J$23:$J$26)</f>
        <v>0</v>
      </c>
      <c r="E40" s="78">
        <f>$D40+($C$29-SUM($D$40:$D$43))*($D40/$D$44)</f>
        <v>0</v>
      </c>
    </row>
    <row r="41" spans="2:8" s="5" customFormat="1" ht="14.1" customHeight="1">
      <c r="B41" s="75" t="s">
        <v>33</v>
      </c>
      <c r="C41" s="84">
        <f>E41/E44</f>
        <v>0</v>
      </c>
      <c r="D41" s="78">
        <f>SUMPRODUCT($F$23:$F$26,$K$23:$K$26)</f>
        <v>0</v>
      </c>
      <c r="E41" s="78">
        <f>$D41+($C$29-SUM($D$40:$D$43))*($D41/$D$44)</f>
        <v>0</v>
      </c>
    </row>
    <row r="42" spans="2:8" s="5" customFormat="1" ht="14.1" customHeight="1">
      <c r="B42" s="75" t="s">
        <v>34</v>
      </c>
      <c r="C42" s="84">
        <f>E42/E44</f>
        <v>0</v>
      </c>
      <c r="D42" s="78">
        <f>SUMPRODUCT($F$23:$F$26,$L$23:$L$26)</f>
        <v>0</v>
      </c>
      <c r="E42" s="78">
        <f>$D42+($C$29-SUM($D$40:$D$43))*($D42/$D$44)</f>
        <v>0</v>
      </c>
    </row>
    <row r="43" spans="2:8" s="5" customFormat="1" ht="14.1" customHeight="1">
      <c r="B43" s="75" t="s">
        <v>35</v>
      </c>
      <c r="C43" s="84">
        <f>E43/E44</f>
        <v>1</v>
      </c>
      <c r="D43" s="78">
        <f>SUMPRODUCT($F$23:$F$26,$M$23:$M$26)</f>
        <v>3300</v>
      </c>
      <c r="E43" s="78">
        <f>$D43+($C$29-SUM($D$40:$D$43))*($D43/$D$44)</f>
        <v>4500</v>
      </c>
    </row>
    <row r="44" spans="2:8" s="5" customFormat="1" ht="12.75" customHeight="1">
      <c r="B44" s="77" t="s">
        <v>10</v>
      </c>
      <c r="C44" s="85">
        <f>SUM(C40:C43)</f>
        <v>1</v>
      </c>
      <c r="D44" s="79">
        <f>SUM(D40:D43)</f>
        <v>3300</v>
      </c>
      <c r="E44" s="79">
        <f>SUM(E40:E43)</f>
        <v>4500</v>
      </c>
    </row>
    <row r="45" spans="2:8" s="5" customFormat="1" ht="12.75" customHeight="1">
      <c r="B45" s="2"/>
      <c r="C45" s="2"/>
      <c r="D45" s="2"/>
      <c r="E45" s="76"/>
    </row>
    <row r="46" spans="2:8" s="5" customFormat="1" ht="12.75" customHeight="1">
      <c r="E46" s="20"/>
      <c r="F46" s="6"/>
    </row>
    <row r="47" spans="2:8" s="5" customFormat="1" ht="12.75" customHeight="1">
      <c r="E47" s="20"/>
    </row>
    <row r="48" spans="2:8" s="5" customFormat="1" ht="12.75" customHeight="1">
      <c r="D48" s="21"/>
      <c r="E48" s="20"/>
    </row>
    <row r="49" spans="4:253" s="5" customFormat="1" ht="12.75" customHeight="1">
      <c r="D49" s="21"/>
      <c r="E49" s="20"/>
    </row>
    <row r="50" spans="4:253" s="5" customFormat="1" ht="12.75" customHeight="1">
      <c r="E50" s="20"/>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row>
    <row r="51" spans="4:253" s="5" customFormat="1" ht="12.75" customHeight="1">
      <c r="D51" s="21"/>
      <c r="E51" s="20"/>
    </row>
    <row r="52" spans="4:253" s="5" customFormat="1" ht="12.75" customHeight="1">
      <c r="E52" s="20"/>
    </row>
    <row r="53" spans="4:253" ht="12.75" customHeight="1">
      <c r="E53" s="20"/>
    </row>
    <row r="54" spans="4:253" ht="12.75" customHeight="1">
      <c r="E54" s="4"/>
    </row>
    <row r="55" spans="4:253">
      <c r="E55" s="3"/>
    </row>
    <row r="67" spans="4:5">
      <c r="D67" s="3"/>
      <c r="E67" s="3"/>
    </row>
  </sheetData>
  <mergeCells count="4">
    <mergeCell ref="E4:F4"/>
    <mergeCell ref="D5:G5"/>
    <mergeCell ref="B13:H14"/>
    <mergeCell ref="B17:H18"/>
  </mergeCells>
  <dataValidations count="2">
    <dataValidation type="list" allowBlank="1" showInputMessage="1" showErrorMessage="1" sqref="G23:G26" xr:uid="{00000000-0002-0000-1A00-000000000000}">
      <formula1>allocation</formula1>
    </dataValidation>
    <dataValidation type="list" allowBlank="1" showInputMessage="1" showErrorMessage="1" sqref="E4" xr:uid="{00000000-0002-0000-1A00-000001000000}">
      <formula1>enterprise</formula1>
    </dataValidation>
  </dataValidations>
  <pageMargins left="0.7" right="0.7" top="0.75" bottom="0.75" header="0.3" footer="0.3"/>
  <pageSetup scale="9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pageSetUpPr fitToPage="1"/>
  </sheetPr>
  <dimension ref="B2:IS64"/>
  <sheetViews>
    <sheetView workbookViewId="0">
      <selection activeCell="H33" sqref="H33"/>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E32</f>
        <v>5000</v>
      </c>
      <c r="K2" s="120">
        <f t="shared" ref="K2:L2" si="0">F32</f>
        <v>1530</v>
      </c>
      <c r="L2" s="120">
        <f t="shared" si="0"/>
        <v>5000</v>
      </c>
      <c r="M2" s="120">
        <f>H32</f>
        <v>5000</v>
      </c>
    </row>
    <row r="3" spans="2:13" ht="14.1" customHeight="1">
      <c r="B3" s="40"/>
      <c r="C3" s="40"/>
      <c r="D3" s="40"/>
      <c r="E3" s="40"/>
      <c r="F3" s="40"/>
      <c r="G3" s="40"/>
      <c r="H3" s="40"/>
      <c r="J3" s="121">
        <f>C37</f>
        <v>0.43</v>
      </c>
      <c r="K3" s="121"/>
      <c r="L3" s="121"/>
      <c r="M3" s="121"/>
    </row>
    <row r="4" spans="2:13" ht="23.25" customHeight="1">
      <c r="B4" s="40"/>
      <c r="C4" s="40"/>
      <c r="D4" s="40"/>
      <c r="E4" s="316" t="s">
        <v>118</v>
      </c>
      <c r="F4" s="316"/>
      <c r="G4" s="41"/>
      <c r="H4" s="40"/>
      <c r="J4" s="121">
        <f t="shared" ref="J4:J7" si="1">C38</f>
        <v>0.41</v>
      </c>
    </row>
    <row r="5" spans="2:13" ht="14.1" customHeight="1">
      <c r="B5" s="42"/>
      <c r="C5" s="42"/>
      <c r="D5" s="312" t="str">
        <f>'Operating Budget'!B48</f>
        <v>Employee Workplace Safety</v>
      </c>
      <c r="E5" s="312"/>
      <c r="F5" s="312"/>
      <c r="G5" s="312"/>
      <c r="H5" s="43"/>
      <c r="J5" s="121">
        <f t="shared" si="1"/>
        <v>0.14000000000000001</v>
      </c>
    </row>
    <row r="6" spans="2:13" ht="19.5" customHeight="1">
      <c r="B6" s="40"/>
      <c r="C6" s="40"/>
      <c r="D6" s="40"/>
      <c r="E6" s="40"/>
      <c r="H6" s="40"/>
      <c r="J6" s="121">
        <f t="shared" si="1"/>
        <v>0.02</v>
      </c>
    </row>
    <row r="7" spans="2:13" ht="14.1" hidden="1" customHeight="1">
      <c r="B7" s="40"/>
      <c r="C7" s="40"/>
      <c r="D7" s="40"/>
      <c r="E7" s="40"/>
      <c r="F7" s="44"/>
      <c r="G7" s="44"/>
      <c r="H7" s="40"/>
      <c r="J7" s="121">
        <f t="shared" si="1"/>
        <v>1</v>
      </c>
    </row>
    <row r="8" spans="2:13" ht="14.1" customHeight="1">
      <c r="B8" s="41" t="s">
        <v>2</v>
      </c>
      <c r="C8" s="40">
        <f>'Operating Budget'!C48</f>
        <v>4370</v>
      </c>
      <c r="D8" s="40"/>
      <c r="E8" s="40"/>
      <c r="F8" s="40"/>
      <c r="G8" s="40"/>
      <c r="H8" s="40"/>
    </row>
    <row r="9" spans="2:13" ht="14.1" customHeight="1">
      <c r="B9" s="41" t="s">
        <v>3</v>
      </c>
      <c r="C9" s="40">
        <f>INDEX('Operating Budget'!$A$11:$A$107,MATCH('22'!C8,'Operating Budget'!C11:C107))</f>
        <v>22</v>
      </c>
      <c r="D9" s="40"/>
      <c r="E9" s="40"/>
      <c r="F9" s="202"/>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145</v>
      </c>
      <c r="C13" s="319"/>
      <c r="D13" s="319"/>
      <c r="E13" s="319"/>
      <c r="F13" s="319"/>
      <c r="G13" s="319"/>
      <c r="H13" s="319"/>
    </row>
    <row r="14" spans="2:13" ht="14.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t="s">
        <v>43</v>
      </c>
      <c r="C17" s="319"/>
      <c r="D17" s="319"/>
      <c r="E17" s="319"/>
      <c r="F17" s="319"/>
      <c r="G17" s="319"/>
      <c r="H17" s="319"/>
    </row>
    <row r="18" spans="2:13" ht="14.1" hidden="1" customHeight="1">
      <c r="B18" s="319"/>
      <c r="C18" s="319"/>
      <c r="D18" s="319"/>
      <c r="E18" s="319"/>
      <c r="F18" s="319"/>
      <c r="G18" s="319"/>
      <c r="H18" s="319"/>
    </row>
    <row r="19" spans="2:13" ht="14.1" customHeight="1">
      <c r="B19" s="310"/>
      <c r="C19" s="310"/>
      <c r="D19" s="310"/>
      <c r="E19" s="310"/>
      <c r="F19" s="310"/>
      <c r="G19" s="310"/>
      <c r="H19" s="310"/>
    </row>
    <row r="20" spans="2:13" s="5" customFormat="1" ht="14.1" customHeight="1">
      <c r="B20" s="36" t="s">
        <v>7</v>
      </c>
      <c r="C20" s="37"/>
      <c r="D20" s="37"/>
      <c r="E20" s="37"/>
      <c r="F20" s="37"/>
      <c r="G20" s="37"/>
      <c r="H20" s="38"/>
    </row>
    <row r="21" spans="2:13" s="5" customFormat="1" ht="14.1" customHeight="1">
      <c r="B21" s="40"/>
      <c r="C21" s="41"/>
      <c r="D21" s="40"/>
      <c r="E21" s="40"/>
      <c r="F21" s="40"/>
      <c r="G21" s="40"/>
      <c r="H21" s="40"/>
    </row>
    <row r="22" spans="2:13" s="5" customFormat="1" ht="14.1" customHeight="1">
      <c r="B22" s="67" t="str">
        <f>$D$5</f>
        <v>Employee Workplace Safety</v>
      </c>
      <c r="C22" s="67"/>
      <c r="D22" s="68"/>
      <c r="E22" s="68"/>
      <c r="F22" s="68" t="s">
        <v>10</v>
      </c>
      <c r="G22" s="69" t="s">
        <v>31</v>
      </c>
      <c r="H22" s="40"/>
      <c r="J22" s="73" t="s">
        <v>32</v>
      </c>
      <c r="K22" s="73" t="s">
        <v>33</v>
      </c>
      <c r="L22" s="73" t="s">
        <v>34</v>
      </c>
      <c r="M22" s="73" t="s">
        <v>35</v>
      </c>
    </row>
    <row r="23" spans="2:13" s="5" customFormat="1" ht="14.1" customHeight="1">
      <c r="B23" s="64" t="s">
        <v>146</v>
      </c>
      <c r="C23" s="57"/>
      <c r="D23" s="80"/>
      <c r="E23" s="66"/>
      <c r="F23" s="66">
        <v>5000</v>
      </c>
      <c r="G23" s="71" t="s">
        <v>122</v>
      </c>
      <c r="H23" s="40"/>
      <c r="J23" s="74">
        <f>INDEX(MASTER!$C$25:$F$42,MATCH($G23,allocation,0),MATCH(J$22,MASTER!$C$24:$F$24,0))</f>
        <v>0.43</v>
      </c>
      <c r="K23" s="74">
        <f>INDEX(MASTER!$C$25:$F$42,MATCH($G23,allocation,0),MATCH(K$22,MASTER!$C$24:$F$24,0))</f>
        <v>0.41</v>
      </c>
      <c r="L23" s="74">
        <f>INDEX(MASTER!$C$25:$F$42,MATCH($G23,allocation,0),MATCH(L$22,MASTER!$C$24:$F$24,0))</f>
        <v>0.14000000000000001</v>
      </c>
      <c r="M23" s="74">
        <f>INDEX(MASTER!$C$25:$F$42,MATCH($G23,allocation,0),MATCH(M$22,MASTER!$C$24:$F$24,0))</f>
        <v>0.02</v>
      </c>
    </row>
    <row r="24" spans="2:13" s="5" customFormat="1" ht="14.1" customHeight="1" thickBot="1">
      <c r="B24" s="49" t="s">
        <v>10</v>
      </c>
      <c r="C24" s="49"/>
      <c r="D24" s="49"/>
      <c r="E24" s="49"/>
      <c r="F24" s="50">
        <f>SUM(F23:F23)</f>
        <v>5000</v>
      </c>
      <c r="G24" s="49"/>
      <c r="H24" s="40"/>
    </row>
    <row r="25" spans="2:13" s="5" customFormat="1" ht="14.1" customHeight="1" thickTop="1">
      <c r="B25" s="40"/>
      <c r="C25" s="41"/>
      <c r="G25" s="40"/>
      <c r="H25" s="40"/>
    </row>
    <row r="26" spans="2:13" s="5" customFormat="1" ht="14.1" customHeight="1">
      <c r="B26" s="41" t="s">
        <v>11</v>
      </c>
      <c r="C26" s="35">
        <f>ROUNDUP($F$24,-$B$27)</f>
        <v>5000</v>
      </c>
      <c r="F26" s="40"/>
      <c r="G26" s="40"/>
      <c r="H26" s="40"/>
    </row>
    <row r="27" spans="2:13" s="5" customFormat="1" ht="14.1" customHeight="1">
      <c r="B27" s="51">
        <v>2</v>
      </c>
      <c r="C27" s="41"/>
      <c r="D27" s="40"/>
      <c r="E27" s="40"/>
      <c r="F27" s="40"/>
      <c r="G27" s="40"/>
      <c r="H27" s="40"/>
    </row>
    <row r="28" spans="2:13" s="5" customFormat="1" ht="14.1" customHeight="1">
      <c r="B28" s="40"/>
      <c r="C28" s="41"/>
      <c r="D28" s="40"/>
      <c r="E28" s="40"/>
      <c r="F28" s="40"/>
      <c r="G28" s="40"/>
      <c r="H28" s="40"/>
    </row>
    <row r="29" spans="2:13" s="5" customFormat="1" ht="14.1" customHeight="1">
      <c r="B29" s="40"/>
      <c r="C29" s="41"/>
      <c r="D29" s="40"/>
      <c r="E29" s="53" t="s">
        <v>12</v>
      </c>
      <c r="F29" s="54" t="s">
        <v>13</v>
      </c>
      <c r="G29" s="54" t="s">
        <v>14</v>
      </c>
      <c r="H29" s="55" t="s">
        <v>15</v>
      </c>
    </row>
    <row r="30" spans="2:13" s="5" customFormat="1" ht="14.1" customHeight="1">
      <c r="B30" s="36"/>
      <c r="C30" s="36"/>
      <c r="D30" s="36"/>
      <c r="E30" s="53" t="str">
        <f>"FY "&amp;MASTER!$B$4-1&amp;" - "&amp;MASTER!$B$4</f>
        <v>FY 2020 - 2021</v>
      </c>
      <c r="F30" s="56">
        <f>MASTER!$B$6</f>
        <v>44255</v>
      </c>
      <c r="G30" s="54" t="str">
        <f>"June "&amp;MASTER!$B$4</f>
        <v>June 2021</v>
      </c>
      <c r="H30" s="55" t="str">
        <f>"FY "&amp;MASTER!$B$4&amp;" - "&amp;MASTER!$B$5</f>
        <v>FY 2021 - 2022</v>
      </c>
    </row>
    <row r="31" spans="2:13" s="5" customFormat="1" ht="14.1" customHeight="1">
      <c r="B31" s="57"/>
      <c r="C31" s="57"/>
      <c r="D31" s="58"/>
      <c r="E31" s="59"/>
      <c r="F31" s="60"/>
      <c r="G31" s="60"/>
      <c r="H31" s="58"/>
    </row>
    <row r="32" spans="2:13" s="5" customFormat="1" ht="14.1" customHeight="1">
      <c r="B32" s="40" t="str">
        <f>$D$5</f>
        <v>Employee Workplace Safety</v>
      </c>
      <c r="C32" s="41"/>
      <c r="D32" s="58"/>
      <c r="E32" s="61">
        <v>5000</v>
      </c>
      <c r="F32" s="62">
        <v>1530</v>
      </c>
      <c r="G32" s="62">
        <v>5000</v>
      </c>
      <c r="H32" s="63">
        <f>$C$26</f>
        <v>5000</v>
      </c>
    </row>
    <row r="33" spans="2:253" s="5" customFormat="1" ht="14.1" customHeight="1">
      <c r="B33" s="40"/>
      <c r="C33" s="41"/>
      <c r="D33" s="58"/>
      <c r="E33" s="59"/>
      <c r="F33" s="59"/>
      <c r="G33" s="237"/>
      <c r="H33" s="82"/>
    </row>
    <row r="34" spans="2:253" s="5" customFormat="1" ht="14.1" customHeight="1">
      <c r="B34" s="40"/>
      <c r="C34" s="41"/>
      <c r="D34" s="58"/>
      <c r="E34" s="58"/>
      <c r="F34" s="58"/>
      <c r="G34" s="58"/>
      <c r="H34" s="63"/>
    </row>
    <row r="35" spans="2:253" s="5" customFormat="1" ht="14.1" customHeight="1">
      <c r="B35" s="2"/>
      <c r="C35" s="1"/>
    </row>
    <row r="36" spans="2:253" s="5" customFormat="1" ht="14.1" customHeight="1">
      <c r="B36" s="36" t="s">
        <v>39</v>
      </c>
      <c r="C36" s="36"/>
      <c r="D36" s="55" t="s">
        <v>40</v>
      </c>
      <c r="E36" s="55" t="s">
        <v>41</v>
      </c>
    </row>
    <row r="37" spans="2:253" s="5" customFormat="1" ht="14.1" customHeight="1">
      <c r="B37" s="75" t="s">
        <v>32</v>
      </c>
      <c r="C37" s="84">
        <f>E37/E41</f>
        <v>0.43</v>
      </c>
      <c r="D37" s="78">
        <f>SUMPRODUCT($F$23:$F$23,$J$23:$J$23)</f>
        <v>2150</v>
      </c>
      <c r="E37" s="78">
        <f>$D37+($C$26-SUM($D$37:$D$40))*($D37/$D$41)</f>
        <v>2150</v>
      </c>
    </row>
    <row r="38" spans="2:253" s="5" customFormat="1" ht="14.1" customHeight="1">
      <c r="B38" s="75" t="s">
        <v>33</v>
      </c>
      <c r="C38" s="84">
        <f>E38/E41</f>
        <v>0.41</v>
      </c>
      <c r="D38" s="78">
        <f>SUMPRODUCT($F$23:$F$23,$K$23:$K$23)</f>
        <v>2050</v>
      </c>
      <c r="E38" s="78">
        <f>$D38+($C$26-SUM($D$37:$D$40))*($D38/$D$41)</f>
        <v>2050</v>
      </c>
    </row>
    <row r="39" spans="2:253" s="5" customFormat="1" ht="14.1" customHeight="1">
      <c r="B39" s="75" t="s">
        <v>34</v>
      </c>
      <c r="C39" s="84">
        <f>E39/E41</f>
        <v>0.14000000000000001</v>
      </c>
      <c r="D39" s="78">
        <f>SUMPRODUCT($F$23:$F$23,$L$23:$L$23)</f>
        <v>700.00000000000011</v>
      </c>
      <c r="E39" s="78">
        <f>$D39+($C$26-SUM($D$37:$D$40))*($D39/$D$41)</f>
        <v>700.00000000000011</v>
      </c>
    </row>
    <row r="40" spans="2:253" s="5" customFormat="1" ht="14.1" customHeight="1">
      <c r="B40" s="75" t="s">
        <v>35</v>
      </c>
      <c r="C40" s="84">
        <f>E40/E41</f>
        <v>0.02</v>
      </c>
      <c r="D40" s="78">
        <f>SUMPRODUCT($F$23:$F$23,$M$23:$M$23)</f>
        <v>100</v>
      </c>
      <c r="E40" s="78">
        <f>$D40+($C$26-SUM($D$37:$D$40))*($D40/$D$41)</f>
        <v>100</v>
      </c>
    </row>
    <row r="41" spans="2:253" s="5" customFormat="1" ht="12.75" customHeight="1">
      <c r="B41" s="77" t="s">
        <v>10</v>
      </c>
      <c r="C41" s="85">
        <f>SUM(C37:C40)</f>
        <v>1</v>
      </c>
      <c r="D41" s="79">
        <f>SUM(D37:D40)</f>
        <v>5000</v>
      </c>
      <c r="E41" s="79">
        <f>SUM(E37:E40)</f>
        <v>5000</v>
      </c>
    </row>
    <row r="42" spans="2:253" s="5" customFormat="1" ht="12.75" customHeight="1">
      <c r="B42" s="2"/>
      <c r="C42" s="2"/>
      <c r="D42" s="2"/>
      <c r="E42" s="76"/>
    </row>
    <row r="43" spans="2:253" s="5" customFormat="1" ht="12.75" customHeight="1">
      <c r="E43" s="20"/>
      <c r="F43" s="6"/>
    </row>
    <row r="44" spans="2:253" s="5" customFormat="1" ht="12.75" customHeight="1">
      <c r="E44" s="20"/>
    </row>
    <row r="45" spans="2:253" s="5" customFormat="1" ht="12.75" customHeight="1">
      <c r="D45" s="21"/>
      <c r="E45" s="20"/>
    </row>
    <row r="46" spans="2:253" s="5" customFormat="1" ht="12.75" customHeight="1">
      <c r="D46" s="21"/>
      <c r="E46" s="20"/>
    </row>
    <row r="47" spans="2:253" s="5" customFormat="1" ht="12.75" customHeight="1">
      <c r="E47" s="20"/>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row>
    <row r="48" spans="2:253" s="5" customFormat="1" ht="12.75" customHeight="1">
      <c r="D48" s="21"/>
      <c r="E48" s="20"/>
    </row>
    <row r="49" spans="4:5" s="5" customFormat="1" ht="12.75" customHeight="1">
      <c r="E49" s="20"/>
    </row>
    <row r="50" spans="4:5" ht="12.75" customHeight="1">
      <c r="E50" s="20"/>
    </row>
    <row r="51" spans="4:5" ht="12.75" customHeight="1">
      <c r="E51" s="4"/>
    </row>
    <row r="52" spans="4:5">
      <c r="E52" s="3"/>
    </row>
    <row r="64" spans="4:5">
      <c r="D64" s="3"/>
      <c r="E64" s="3"/>
    </row>
  </sheetData>
  <mergeCells count="4">
    <mergeCell ref="E4:F4"/>
    <mergeCell ref="D5:G5"/>
    <mergeCell ref="B13:H14"/>
    <mergeCell ref="B17:H18"/>
  </mergeCells>
  <dataValidations count="2">
    <dataValidation type="list" allowBlank="1" showInputMessage="1" showErrorMessage="1" sqref="E4" xr:uid="{00000000-0002-0000-1B00-000000000000}">
      <formula1>enterprise</formula1>
    </dataValidation>
    <dataValidation type="list" allowBlank="1" showInputMessage="1" showErrorMessage="1" sqref="G23" xr:uid="{00000000-0002-0000-1B00-000001000000}">
      <formula1>allocation</formula1>
    </dataValidation>
  </dataValidations>
  <pageMargins left="0.7" right="0.7" top="0.75" bottom="0.75" header="0.3" footer="0.3"/>
  <pageSetup scale="9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B2:IS65"/>
  <sheetViews>
    <sheetView workbookViewId="0">
      <selection activeCell="H34" sqref="H34"/>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E33</f>
        <v>1500</v>
      </c>
      <c r="K2" s="120">
        <f t="shared" ref="K2:M2" si="0">F33</f>
        <v>0</v>
      </c>
      <c r="L2" s="120">
        <f t="shared" si="0"/>
        <v>0</v>
      </c>
      <c r="M2" s="120">
        <f t="shared" si="0"/>
        <v>1500</v>
      </c>
    </row>
    <row r="3" spans="2:13" ht="14.1" customHeight="1">
      <c r="B3" s="40"/>
      <c r="C3" s="40"/>
      <c r="D3" s="40"/>
      <c r="E3" s="40"/>
      <c r="F3" s="40"/>
      <c r="G3" s="40"/>
      <c r="H3" s="40"/>
      <c r="J3" s="121">
        <f>C38</f>
        <v>0</v>
      </c>
      <c r="K3" s="121"/>
      <c r="L3" s="121"/>
      <c r="M3" s="121"/>
    </row>
    <row r="4" spans="2:13" ht="23.25" customHeight="1">
      <c r="B4" s="40"/>
      <c r="C4" s="40"/>
      <c r="D4" s="40"/>
      <c r="E4" s="316" t="s">
        <v>138</v>
      </c>
      <c r="F4" s="316"/>
      <c r="G4" s="41"/>
      <c r="H4" s="40"/>
      <c r="J4" s="121">
        <f t="shared" ref="J4:J6" si="1">C39</f>
        <v>0</v>
      </c>
    </row>
    <row r="5" spans="2:13" ht="14.1" customHeight="1">
      <c r="B5" s="42"/>
      <c r="C5" s="42"/>
      <c r="D5" s="312" t="str">
        <f>'Operating Budget'!B49</f>
        <v>Emergency Preparedness</v>
      </c>
      <c r="E5" s="312"/>
      <c r="F5" s="312"/>
      <c r="G5" s="312"/>
      <c r="H5" s="43"/>
      <c r="J5" s="121">
        <f t="shared" si="1"/>
        <v>0</v>
      </c>
    </row>
    <row r="6" spans="2:13" ht="19.5" customHeight="1">
      <c r="B6" s="40"/>
      <c r="C6" s="40"/>
      <c r="D6" s="40"/>
      <c r="E6" s="40"/>
      <c r="H6" s="40"/>
      <c r="J6" s="121">
        <f t="shared" si="1"/>
        <v>1</v>
      </c>
    </row>
    <row r="7" spans="2:13" ht="14.1" hidden="1" customHeight="1">
      <c r="B7" s="40"/>
      <c r="C7" s="40"/>
      <c r="D7" s="40"/>
      <c r="E7" s="40"/>
      <c r="F7" s="44"/>
      <c r="G7" s="44"/>
      <c r="H7" s="40"/>
    </row>
    <row r="8" spans="2:13" ht="14.1" customHeight="1">
      <c r="B8" s="41" t="s">
        <v>2</v>
      </c>
      <c r="C8" s="40">
        <f>'Operating Budget'!C49</f>
        <v>4380</v>
      </c>
      <c r="D8" s="40"/>
      <c r="E8" s="40"/>
      <c r="F8" s="40"/>
      <c r="G8" s="40"/>
      <c r="H8" s="40"/>
    </row>
    <row r="9" spans="2:13" ht="14.1" customHeight="1">
      <c r="B9" s="41" t="s">
        <v>3</v>
      </c>
      <c r="C9" s="40">
        <f>INDEX('Operating Budget'!$A$11:$A$107,MATCH('23'!C8,'Operating Budget'!C11:C107))</f>
        <v>23</v>
      </c>
      <c r="D9" s="40"/>
      <c r="E9" s="40"/>
      <c r="F9" s="202"/>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147</v>
      </c>
      <c r="C13" s="319"/>
      <c r="D13" s="319"/>
      <c r="E13" s="319"/>
      <c r="F13" s="319"/>
      <c r="G13" s="319"/>
      <c r="H13" s="319"/>
    </row>
    <row r="14" spans="2:13" ht="14.1" customHeight="1">
      <c r="B14" s="319"/>
      <c r="C14" s="319"/>
      <c r="D14" s="319"/>
      <c r="E14" s="319"/>
      <c r="F14" s="319"/>
      <c r="G14" s="319"/>
      <c r="H14" s="319"/>
    </row>
    <row r="15" spans="2:13" ht="14.1" customHeight="1">
      <c r="B15" s="319"/>
      <c r="C15" s="319"/>
      <c r="D15" s="319"/>
      <c r="E15" s="319"/>
      <c r="F15" s="319"/>
      <c r="G15" s="319"/>
      <c r="H15" s="319"/>
    </row>
    <row r="16" spans="2:13" ht="14.1" customHeight="1">
      <c r="B16" s="45"/>
      <c r="C16" s="45"/>
      <c r="D16" s="45"/>
      <c r="E16" s="45"/>
      <c r="F16" s="45"/>
      <c r="G16" s="45"/>
      <c r="H16" s="45"/>
    </row>
    <row r="17" spans="2:13" ht="14.1" customHeight="1">
      <c r="B17" s="41" t="str">
        <f>"Changes for FY "&amp;MASTER!$B$4&amp;" - "&amp;MASTER!$B$5&amp;":"</f>
        <v>Changes for FY 2021 - 2022:</v>
      </c>
      <c r="C17" s="45"/>
      <c r="D17" s="45"/>
      <c r="E17" s="45"/>
      <c r="F17" s="45"/>
      <c r="G17" s="45"/>
      <c r="H17" s="45"/>
    </row>
    <row r="18" spans="2:13" ht="14.1" customHeight="1">
      <c r="B18" s="319"/>
      <c r="C18" s="319"/>
      <c r="D18" s="319"/>
      <c r="E18" s="319"/>
      <c r="F18" s="319"/>
      <c r="G18" s="319"/>
      <c r="H18" s="319"/>
    </row>
    <row r="19" spans="2:13" ht="14.1" hidden="1" customHeight="1">
      <c r="B19" s="319"/>
      <c r="C19" s="319"/>
      <c r="D19" s="319"/>
      <c r="E19" s="319"/>
      <c r="F19" s="319"/>
      <c r="G19" s="319"/>
      <c r="H19" s="319"/>
    </row>
    <row r="20" spans="2:13" ht="14.1" customHeight="1">
      <c r="B20" s="310"/>
      <c r="C20" s="310"/>
      <c r="D20" s="310"/>
      <c r="E20" s="310"/>
      <c r="F20" s="310"/>
      <c r="G20" s="310"/>
      <c r="H20" s="310"/>
    </row>
    <row r="21" spans="2:13" s="5" customFormat="1" ht="14.1" customHeight="1">
      <c r="B21" s="36" t="s">
        <v>7</v>
      </c>
      <c r="C21" s="37"/>
      <c r="D21" s="37"/>
      <c r="E21" s="37"/>
      <c r="F21" s="37"/>
      <c r="G21" s="37"/>
      <c r="H21" s="38"/>
    </row>
    <row r="22" spans="2:13" s="5" customFormat="1" ht="14.1" customHeight="1">
      <c r="B22" s="40"/>
      <c r="C22" s="41"/>
      <c r="D22" s="40"/>
      <c r="E22" s="40"/>
      <c r="F22" s="40"/>
      <c r="G22" s="40"/>
      <c r="H22" s="40"/>
    </row>
    <row r="23" spans="2:13" s="5" customFormat="1" ht="14.1" customHeight="1">
      <c r="B23" s="67" t="str">
        <f>$D$5</f>
        <v>Emergency Preparedness</v>
      </c>
      <c r="C23" s="67"/>
      <c r="D23" s="68"/>
      <c r="E23" s="68"/>
      <c r="F23" s="68" t="s">
        <v>10</v>
      </c>
      <c r="G23" s="69" t="s">
        <v>31</v>
      </c>
      <c r="H23" s="40"/>
      <c r="J23" s="73" t="s">
        <v>32</v>
      </c>
      <c r="K23" s="73" t="s">
        <v>33</v>
      </c>
      <c r="L23" s="73" t="s">
        <v>34</v>
      </c>
      <c r="M23" s="73" t="s">
        <v>35</v>
      </c>
    </row>
    <row r="24" spans="2:13" s="5" customFormat="1" ht="14.1" customHeight="1">
      <c r="B24" s="64" t="s">
        <v>148</v>
      </c>
      <c r="C24" s="57"/>
      <c r="D24" s="80"/>
      <c r="E24" s="66"/>
      <c r="F24" s="66">
        <v>1500</v>
      </c>
      <c r="G24" s="71" t="s">
        <v>142</v>
      </c>
      <c r="H24" s="40"/>
      <c r="J24" s="74">
        <f>INDEX(MASTER!$C$25:$F$42,MATCH($G24,allocation,0),MATCH(J$23,MASTER!$C$24:$F$24,0))</f>
        <v>0</v>
      </c>
      <c r="K24" s="74">
        <f>INDEX(MASTER!$C$25:$F$42,MATCH($G24,allocation,0),MATCH(K$23,MASTER!$C$24:$F$24,0))</f>
        <v>0</v>
      </c>
      <c r="L24" s="74">
        <f>INDEX(MASTER!$C$25:$F$42,MATCH($G24,allocation,0),MATCH(L$23,MASTER!$C$24:$F$24,0))</f>
        <v>0</v>
      </c>
      <c r="M24" s="74">
        <f>INDEX(MASTER!$C$25:$F$42,MATCH($G24,allocation,0),MATCH(M$23,MASTER!$C$24:$F$24,0))</f>
        <v>1</v>
      </c>
    </row>
    <row r="25" spans="2:13" s="5" customFormat="1" ht="14.1" customHeight="1" thickBot="1">
      <c r="B25" s="49" t="s">
        <v>10</v>
      </c>
      <c r="C25" s="49"/>
      <c r="D25" s="49"/>
      <c r="E25" s="49"/>
      <c r="F25" s="50">
        <f>SUM(F24:F24)</f>
        <v>1500</v>
      </c>
      <c r="G25" s="49"/>
      <c r="H25" s="40"/>
    </row>
    <row r="26" spans="2:13" s="5" customFormat="1" ht="14.1" customHeight="1" thickTop="1">
      <c r="B26" s="40"/>
      <c r="C26" s="41"/>
      <c r="G26" s="40"/>
      <c r="H26" s="40"/>
    </row>
    <row r="27" spans="2:13" s="5" customFormat="1" ht="14.1" customHeight="1">
      <c r="B27" s="41" t="s">
        <v>11</v>
      </c>
      <c r="C27" s="35">
        <f>ROUNDUP($F$25,-$B$28)</f>
        <v>1500</v>
      </c>
      <c r="F27" s="40"/>
      <c r="G27" s="40"/>
      <c r="H27" s="40"/>
    </row>
    <row r="28" spans="2:13" s="5" customFormat="1" ht="14.1" customHeight="1">
      <c r="B28" s="51">
        <v>2</v>
      </c>
      <c r="C28" s="41"/>
      <c r="D28" s="40"/>
      <c r="E28" s="40"/>
      <c r="F28" s="40"/>
      <c r="G28" s="40"/>
      <c r="H28" s="40"/>
    </row>
    <row r="29" spans="2:13" s="5" customFormat="1" ht="14.1" customHeight="1">
      <c r="B29" s="40"/>
      <c r="C29" s="41"/>
      <c r="D29" s="40"/>
      <c r="E29" s="40"/>
      <c r="F29" s="40"/>
      <c r="G29" s="40"/>
      <c r="H29" s="40"/>
    </row>
    <row r="30" spans="2:13" s="5" customFormat="1" ht="14.1" customHeight="1">
      <c r="B30" s="40"/>
      <c r="C30" s="41"/>
      <c r="D30" s="40"/>
      <c r="E30" s="53" t="s">
        <v>12</v>
      </c>
      <c r="F30" s="54" t="s">
        <v>13</v>
      </c>
      <c r="G30" s="54" t="s">
        <v>14</v>
      </c>
      <c r="H30" s="55" t="s">
        <v>15</v>
      </c>
    </row>
    <row r="31" spans="2:13" s="5" customFormat="1" ht="14.1" customHeight="1">
      <c r="B31" s="36"/>
      <c r="C31" s="36"/>
      <c r="D31" s="36"/>
      <c r="E31" s="53" t="str">
        <f>"FY "&amp;MASTER!$B$4-1&amp;" - "&amp;MASTER!$B$4</f>
        <v>FY 2020 - 2021</v>
      </c>
      <c r="F31" s="56">
        <f>MASTER!$B$6</f>
        <v>44255</v>
      </c>
      <c r="G31" s="54" t="str">
        <f>"June "&amp;MASTER!$B$4</f>
        <v>June 2021</v>
      </c>
      <c r="H31" s="55" t="str">
        <f>"FY "&amp;MASTER!$B$4&amp;" - "&amp;MASTER!$B$5</f>
        <v>FY 2021 - 2022</v>
      </c>
    </row>
    <row r="32" spans="2:13" s="5" customFormat="1" ht="14.1" customHeight="1">
      <c r="B32" s="57"/>
      <c r="C32" s="57"/>
      <c r="D32" s="58"/>
      <c r="E32" s="59"/>
      <c r="F32" s="60"/>
      <c r="G32" s="60"/>
      <c r="H32" s="58"/>
    </row>
    <row r="33" spans="2:253" s="5" customFormat="1" ht="14.1" customHeight="1">
      <c r="B33" s="40" t="str">
        <f>$D$5</f>
        <v>Emergency Preparedness</v>
      </c>
      <c r="C33" s="41"/>
      <c r="D33" s="58"/>
      <c r="E33" s="61">
        <v>1500</v>
      </c>
      <c r="F33" s="62">
        <v>0</v>
      </c>
      <c r="G33" s="62">
        <v>0</v>
      </c>
      <c r="H33" s="63">
        <f>$C$27</f>
        <v>1500</v>
      </c>
    </row>
    <row r="34" spans="2:253" s="5" customFormat="1" ht="14.1" customHeight="1">
      <c r="B34" s="40"/>
      <c r="C34" s="41"/>
      <c r="D34" s="58"/>
      <c r="E34" s="59"/>
      <c r="F34" s="59"/>
      <c r="G34" s="58"/>
      <c r="H34" s="82"/>
    </row>
    <row r="35" spans="2:253" s="5" customFormat="1" ht="14.1" customHeight="1">
      <c r="B35" s="40"/>
      <c r="C35" s="41"/>
      <c r="D35" s="58"/>
      <c r="E35" s="58"/>
      <c r="F35" s="58"/>
      <c r="G35" s="58"/>
      <c r="H35" s="63"/>
    </row>
    <row r="36" spans="2:253" s="5" customFormat="1" ht="14.1" customHeight="1">
      <c r="B36" s="2"/>
      <c r="C36" s="1"/>
    </row>
    <row r="37" spans="2:253" s="5" customFormat="1" ht="14.1" customHeight="1">
      <c r="B37" s="36" t="s">
        <v>39</v>
      </c>
      <c r="C37" s="36"/>
      <c r="D37" s="55" t="s">
        <v>40</v>
      </c>
      <c r="E37" s="55" t="s">
        <v>41</v>
      </c>
    </row>
    <row r="38" spans="2:253" s="5" customFormat="1" ht="14.1" customHeight="1">
      <c r="B38" s="75" t="s">
        <v>32</v>
      </c>
      <c r="C38" s="84">
        <f>E38/E42</f>
        <v>0</v>
      </c>
      <c r="D38" s="78">
        <f>SUMPRODUCT($F$24:$F$24,$J$24:$J$24)</f>
        <v>0</v>
      </c>
      <c r="E38" s="78">
        <f>$D38+($C$27-SUM($D$38:$D$41))*($D38/$D$42)</f>
        <v>0</v>
      </c>
    </row>
    <row r="39" spans="2:253" s="5" customFormat="1" ht="14.1" customHeight="1">
      <c r="B39" s="75" t="s">
        <v>33</v>
      </c>
      <c r="C39" s="84">
        <f>E39/E42</f>
        <v>0</v>
      </c>
      <c r="D39" s="78">
        <f>SUMPRODUCT($F$24:$F$24,$K$24:$K$24)</f>
        <v>0</v>
      </c>
      <c r="E39" s="78">
        <f>$D39+($C$27-SUM($D$38:$D$41))*($D39/$D$42)</f>
        <v>0</v>
      </c>
    </row>
    <row r="40" spans="2:253" s="5" customFormat="1" ht="14.1" customHeight="1">
      <c r="B40" s="75" t="s">
        <v>34</v>
      </c>
      <c r="C40" s="84">
        <f>E40/E42</f>
        <v>0</v>
      </c>
      <c r="D40" s="78">
        <f>SUMPRODUCT($F$24:$F$24,$L$24:$L$24)</f>
        <v>0</v>
      </c>
      <c r="E40" s="78">
        <f>$D40+($C$27-SUM($D$38:$D$41))*($D40/$D$42)</f>
        <v>0</v>
      </c>
    </row>
    <row r="41" spans="2:253" s="5" customFormat="1" ht="14.1" customHeight="1">
      <c r="B41" s="75" t="s">
        <v>35</v>
      </c>
      <c r="C41" s="84">
        <f>E41/E42</f>
        <v>1</v>
      </c>
      <c r="D41" s="78">
        <f>SUMPRODUCT($F$24:$F$24,$M$24:$M$24)</f>
        <v>1500</v>
      </c>
      <c r="E41" s="78">
        <f>$D41+($C$27-SUM($D$38:$D$41))*($D41/$D$42)</f>
        <v>1500</v>
      </c>
    </row>
    <row r="42" spans="2:253" s="5" customFormat="1" ht="12.75" customHeight="1">
      <c r="B42" s="77" t="s">
        <v>10</v>
      </c>
      <c r="C42" s="85">
        <f>SUM(C38:C41)</f>
        <v>1</v>
      </c>
      <c r="D42" s="79">
        <f>SUM(D38:D41)</f>
        <v>1500</v>
      </c>
      <c r="E42" s="79">
        <f>SUM(E38:E41)</f>
        <v>1500</v>
      </c>
    </row>
    <row r="43" spans="2:253" s="5" customFormat="1" ht="12.75" customHeight="1">
      <c r="B43" s="2"/>
      <c r="C43" s="2"/>
      <c r="D43" s="2"/>
      <c r="E43" s="76"/>
    </row>
    <row r="44" spans="2:253" s="5" customFormat="1" ht="12.75" customHeight="1">
      <c r="E44" s="20"/>
      <c r="F44" s="6"/>
    </row>
    <row r="45" spans="2:253" s="5" customFormat="1" ht="12.75" customHeight="1">
      <c r="E45" s="20"/>
    </row>
    <row r="46" spans="2:253" s="5" customFormat="1" ht="12.75" customHeight="1">
      <c r="D46" s="21"/>
      <c r="E46" s="20"/>
    </row>
    <row r="47" spans="2:253" s="5" customFormat="1" ht="12.75" customHeight="1">
      <c r="D47" s="21"/>
      <c r="E47" s="20"/>
    </row>
    <row r="48" spans="2:253" s="5" customFormat="1" ht="12.75" customHeight="1">
      <c r="E48" s="20"/>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row>
    <row r="49" spans="4:5" s="5" customFormat="1" ht="12.75" customHeight="1">
      <c r="D49" s="21"/>
      <c r="E49" s="20"/>
    </row>
    <row r="50" spans="4:5" s="5" customFormat="1" ht="12.75" customHeight="1">
      <c r="E50" s="20"/>
    </row>
    <row r="51" spans="4:5" ht="12.75" customHeight="1">
      <c r="E51" s="20"/>
    </row>
    <row r="52" spans="4:5" ht="12.75" customHeight="1">
      <c r="E52" s="4"/>
    </row>
    <row r="53" spans="4:5">
      <c r="E53" s="3"/>
    </row>
    <row r="65" spans="4:5">
      <c r="D65" s="3"/>
      <c r="E65" s="3"/>
    </row>
  </sheetData>
  <mergeCells count="4">
    <mergeCell ref="E4:F4"/>
    <mergeCell ref="D5:G5"/>
    <mergeCell ref="B18:H19"/>
    <mergeCell ref="B13:H15"/>
  </mergeCells>
  <dataValidations count="2">
    <dataValidation type="list" allowBlank="1" showInputMessage="1" showErrorMessage="1" sqref="G24" xr:uid="{00000000-0002-0000-1C00-000000000000}">
      <formula1>allocation</formula1>
    </dataValidation>
    <dataValidation type="list" allowBlank="1" showInputMessage="1" showErrorMessage="1" sqref="E4" xr:uid="{00000000-0002-0000-1C00-000001000000}">
      <formula1>enterprise</formula1>
    </dataValidation>
  </dataValidations>
  <pageMargins left="0.7" right="0.7" top="0.75" bottom="0.75" header="0.3" footer="0.3"/>
  <pageSetup scale="9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pageSetUpPr fitToPage="1"/>
  </sheetPr>
  <dimension ref="B2:IS65"/>
  <sheetViews>
    <sheetView workbookViewId="0">
      <selection activeCell="H27" sqref="H27"/>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E33</f>
        <v>729600</v>
      </c>
      <c r="K2" s="120">
        <f t="shared" ref="K2:M2" si="0">F33</f>
        <v>542869</v>
      </c>
      <c r="L2" s="120">
        <f t="shared" si="0"/>
        <v>744930</v>
      </c>
      <c r="M2" s="120">
        <f t="shared" si="0"/>
        <v>769000</v>
      </c>
    </row>
    <row r="3" spans="2:13" ht="14.1" customHeight="1">
      <c r="B3" s="40"/>
      <c r="C3" s="40"/>
      <c r="D3" s="40"/>
      <c r="E3" s="40"/>
      <c r="F3" s="40"/>
      <c r="G3" s="40"/>
      <c r="H3" s="40"/>
      <c r="J3" s="121">
        <f>C38</f>
        <v>0.39</v>
      </c>
      <c r="K3" s="121"/>
      <c r="L3" s="121"/>
      <c r="M3" s="121"/>
    </row>
    <row r="4" spans="2:13" ht="23.25" customHeight="1">
      <c r="B4" s="40"/>
      <c r="C4" s="40"/>
      <c r="D4" s="40"/>
      <c r="E4" s="316" t="s">
        <v>118</v>
      </c>
      <c r="F4" s="316"/>
      <c r="G4" s="41"/>
      <c r="H4" s="40"/>
      <c r="J4" s="121">
        <f t="shared" ref="J4:J6" si="1">C39</f>
        <v>0.4</v>
      </c>
    </row>
    <row r="5" spans="2:13" ht="14.1" customHeight="1">
      <c r="B5" s="42"/>
      <c r="C5" s="42"/>
      <c r="D5" s="312" t="str">
        <f>'Operating Budget'!B53</f>
        <v>Regular Salaries</v>
      </c>
      <c r="E5" s="312"/>
      <c r="F5" s="312"/>
      <c r="G5" s="312"/>
      <c r="H5" s="43"/>
      <c r="J5" s="121">
        <f t="shared" si="1"/>
        <v>0.19</v>
      </c>
    </row>
    <row r="6" spans="2:13" ht="19.5" customHeight="1">
      <c r="B6" s="40"/>
      <c r="C6" s="40"/>
      <c r="D6" s="40"/>
      <c r="E6" s="40"/>
      <c r="H6" s="40"/>
      <c r="J6" s="121">
        <f t="shared" si="1"/>
        <v>0.02</v>
      </c>
    </row>
    <row r="7" spans="2:13" ht="14.1" hidden="1" customHeight="1">
      <c r="B7" s="40"/>
      <c r="C7" s="40"/>
      <c r="D7" s="40"/>
      <c r="E7" s="40"/>
      <c r="F7" s="44"/>
      <c r="G7" s="44"/>
      <c r="H7" s="40"/>
    </row>
    <row r="8" spans="2:13" ht="14.1" customHeight="1">
      <c r="B8" s="41" t="s">
        <v>2</v>
      </c>
      <c r="C8" s="40">
        <f>'Operating Budget'!C53</f>
        <v>4400</v>
      </c>
      <c r="D8" s="40"/>
      <c r="E8" s="40"/>
      <c r="F8" s="233"/>
      <c r="G8" s="40"/>
      <c r="H8" s="40"/>
    </row>
    <row r="9" spans="2:13" ht="14.1" customHeight="1">
      <c r="B9" s="41" t="s">
        <v>3</v>
      </c>
      <c r="C9" s="40">
        <f>INDEX('Operating Budget'!$A$11:$A$107,MATCH('24'!C8,'Operating Budget'!C11:C107))</f>
        <v>24</v>
      </c>
      <c r="D9" s="40"/>
      <c r="E9" s="40"/>
      <c r="F9" s="40"/>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149</v>
      </c>
      <c r="C13" s="319"/>
      <c r="D13" s="319"/>
      <c r="E13" s="319"/>
      <c r="F13" s="319"/>
      <c r="G13" s="319"/>
      <c r="H13" s="319"/>
    </row>
    <row r="14" spans="2:13" ht="14.1" customHeight="1">
      <c r="B14" s="319"/>
      <c r="C14" s="319"/>
      <c r="D14" s="319"/>
      <c r="E14" s="319"/>
      <c r="F14" s="319"/>
      <c r="G14" s="319"/>
      <c r="H14" s="319"/>
    </row>
    <row r="15" spans="2:13" ht="14.1" hidden="1" customHeight="1">
      <c r="B15" s="319"/>
      <c r="C15" s="319"/>
      <c r="D15" s="319"/>
      <c r="E15" s="319"/>
      <c r="F15" s="319"/>
      <c r="G15" s="319"/>
      <c r="H15" s="319"/>
    </row>
    <row r="16" spans="2:13" ht="14.1" customHeight="1">
      <c r="B16" s="45"/>
      <c r="C16" s="45"/>
      <c r="D16" s="45"/>
      <c r="E16" s="45"/>
      <c r="F16" s="45"/>
      <c r="G16" s="45"/>
      <c r="H16" s="45"/>
    </row>
    <row r="17" spans="2:13" ht="14.1" customHeight="1">
      <c r="B17" s="41" t="str">
        <f>"Changes for FY "&amp;MASTER!$B$4&amp;" - "&amp;MASTER!$B$5&amp;":"</f>
        <v>Changes for FY 2021 - 2022:</v>
      </c>
      <c r="C17" s="45"/>
      <c r="D17" s="45"/>
      <c r="E17" s="45"/>
      <c r="F17" s="45"/>
      <c r="G17" s="45"/>
      <c r="H17" s="45"/>
    </row>
    <row r="18" spans="2:13" ht="14.1" customHeight="1">
      <c r="B18" s="319" t="s">
        <v>150</v>
      </c>
      <c r="C18" s="319"/>
      <c r="D18" s="319"/>
      <c r="E18" s="319"/>
      <c r="F18" s="319"/>
      <c r="G18" s="319"/>
      <c r="H18" s="319"/>
    </row>
    <row r="19" spans="2:13" ht="14.1" customHeight="1">
      <c r="B19" s="319"/>
      <c r="C19" s="319"/>
      <c r="D19" s="319"/>
      <c r="E19" s="319"/>
      <c r="F19" s="319"/>
      <c r="G19" s="319"/>
      <c r="H19" s="319"/>
    </row>
    <row r="20" spans="2:13" ht="14.1" customHeight="1">
      <c r="B20" s="310"/>
      <c r="C20" s="310"/>
      <c r="D20" s="310"/>
      <c r="E20" s="310"/>
      <c r="F20" s="310"/>
      <c r="G20" s="310"/>
      <c r="H20" s="310"/>
    </row>
    <row r="21" spans="2:13" s="5" customFormat="1" ht="14.1" customHeight="1">
      <c r="B21" s="36" t="s">
        <v>7</v>
      </c>
      <c r="C21" s="37"/>
      <c r="D21" s="37"/>
      <c r="E21" s="37"/>
      <c r="F21" s="37"/>
      <c r="G21" s="37"/>
      <c r="H21" s="38"/>
    </row>
    <row r="22" spans="2:13" s="5" customFormat="1" ht="14.1" customHeight="1">
      <c r="B22" s="40"/>
      <c r="C22" s="41"/>
      <c r="D22" s="40"/>
      <c r="E22" s="40"/>
      <c r="F22" s="40"/>
      <c r="G22" s="40"/>
      <c r="H22" s="40"/>
    </row>
    <row r="23" spans="2:13" s="5" customFormat="1" ht="14.1" customHeight="1">
      <c r="B23" s="67" t="str">
        <f>$D$5</f>
        <v>Regular Salaries</v>
      </c>
      <c r="C23" s="67"/>
      <c r="D23" s="68"/>
      <c r="E23" s="68"/>
      <c r="F23" s="68" t="s">
        <v>10</v>
      </c>
      <c r="G23" s="69" t="s">
        <v>31</v>
      </c>
      <c r="H23" s="40"/>
      <c r="J23" s="73" t="s">
        <v>32</v>
      </c>
      <c r="K23" s="73" t="s">
        <v>33</v>
      </c>
      <c r="L23" s="73" t="s">
        <v>34</v>
      </c>
      <c r="M23" s="73" t="s">
        <v>35</v>
      </c>
    </row>
    <row r="24" spans="2:13" s="5" customFormat="1" ht="14.1" customHeight="1">
      <c r="B24" s="64" t="s">
        <v>151</v>
      </c>
      <c r="C24" s="57"/>
      <c r="D24" s="80"/>
      <c r="E24" s="66"/>
      <c r="F24" s="66">
        <v>769000</v>
      </c>
      <c r="G24" s="71" t="s">
        <v>152</v>
      </c>
      <c r="H24" s="40"/>
      <c r="J24" s="74">
        <f>INDEX(MASTER!$C$25:$F$42,MATCH($G24,allocation,0),MATCH(J$23,MASTER!$C$24:$F$24,0))</f>
        <v>0.39</v>
      </c>
      <c r="K24" s="74">
        <f>INDEX(MASTER!$C$25:$F$42,MATCH($G24,allocation,0),MATCH(K$23,MASTER!$C$24:$F$24,0))</f>
        <v>0.4</v>
      </c>
      <c r="L24" s="74">
        <f>INDEX(MASTER!$C$25:$F$42,MATCH($G24,allocation,0),MATCH(L$23,MASTER!$C$24:$F$24,0))</f>
        <v>0.19</v>
      </c>
      <c r="M24" s="74">
        <f>INDEX(MASTER!$C$25:$F$42,MATCH($G24,allocation,0),MATCH(M$23,MASTER!$C$24:$F$24,0))</f>
        <v>0.02</v>
      </c>
    </row>
    <row r="25" spans="2:13" s="5" customFormat="1" ht="14.1" customHeight="1" thickBot="1">
      <c r="B25" s="49" t="s">
        <v>10</v>
      </c>
      <c r="C25" s="49"/>
      <c r="D25" s="49"/>
      <c r="E25" s="49"/>
      <c r="F25" s="50">
        <f>SUM(F24:F24)</f>
        <v>769000</v>
      </c>
      <c r="G25" s="49"/>
      <c r="H25" s="40"/>
    </row>
    <row r="26" spans="2:13" s="5" customFormat="1" ht="14.1" customHeight="1" thickTop="1">
      <c r="B26" s="40"/>
      <c r="C26" s="41"/>
      <c r="G26" s="40"/>
      <c r="H26" s="40"/>
    </row>
    <row r="27" spans="2:13" s="5" customFormat="1" ht="14.1" customHeight="1">
      <c r="B27" s="41" t="s">
        <v>11</v>
      </c>
      <c r="C27" s="35">
        <f>ROUNDUP($F$25,-$B$28)</f>
        <v>769000</v>
      </c>
      <c r="F27" s="40"/>
      <c r="G27" s="40"/>
      <c r="H27" s="40"/>
    </row>
    <row r="28" spans="2:13" s="5" customFormat="1" ht="14.1" customHeight="1">
      <c r="B28" s="51">
        <v>2</v>
      </c>
      <c r="C28" s="41"/>
      <c r="D28" s="40"/>
      <c r="E28" s="40"/>
      <c r="F28" s="40"/>
      <c r="G28" s="40"/>
      <c r="H28" s="40"/>
    </row>
    <row r="29" spans="2:13" s="5" customFormat="1" ht="14.1" customHeight="1">
      <c r="B29" s="40"/>
      <c r="C29" s="41"/>
      <c r="D29" s="40"/>
      <c r="E29" s="40"/>
      <c r="F29" s="256"/>
      <c r="G29" s="40"/>
      <c r="H29" s="40"/>
    </row>
    <row r="30" spans="2:13" s="5" customFormat="1" ht="14.1" customHeight="1">
      <c r="B30" s="40"/>
      <c r="C30" s="41"/>
      <c r="D30" s="40"/>
      <c r="E30" s="53" t="s">
        <v>12</v>
      </c>
      <c r="F30" s="54" t="s">
        <v>13</v>
      </c>
      <c r="G30" s="54" t="s">
        <v>14</v>
      </c>
      <c r="H30" s="55" t="s">
        <v>15</v>
      </c>
    </row>
    <row r="31" spans="2:13" s="5" customFormat="1" ht="14.1" customHeight="1">
      <c r="B31" s="36"/>
      <c r="C31" s="36"/>
      <c r="D31" s="36"/>
      <c r="E31" s="53" t="str">
        <f>"FY "&amp;MASTER!$B$4-1&amp;" - "&amp;MASTER!$B$4</f>
        <v>FY 2020 - 2021</v>
      </c>
      <c r="F31" s="56">
        <v>43921</v>
      </c>
      <c r="G31" s="54" t="str">
        <f>"June "&amp;MASTER!$B$4</f>
        <v>June 2021</v>
      </c>
      <c r="H31" s="55" t="str">
        <f>"FY "&amp;MASTER!$B$4&amp;" - "&amp;MASTER!$B$5</f>
        <v>FY 2021 - 2022</v>
      </c>
    </row>
    <row r="32" spans="2:13" s="5" customFormat="1" ht="14.1" customHeight="1">
      <c r="B32" s="57"/>
      <c r="C32" s="57"/>
      <c r="D32" s="58"/>
      <c r="E32" s="59"/>
      <c r="F32" s="60"/>
      <c r="G32" s="60"/>
      <c r="H32" s="58"/>
    </row>
    <row r="33" spans="2:253" s="5" customFormat="1" ht="14.1" customHeight="1">
      <c r="B33" s="40" t="str">
        <f>$D$5</f>
        <v>Regular Salaries</v>
      </c>
      <c r="C33" s="41"/>
      <c r="D33" s="58"/>
      <c r="E33" s="61">
        <v>729600</v>
      </c>
      <c r="F33" s="62">
        <v>542869</v>
      </c>
      <c r="G33" s="62">
        <v>744930</v>
      </c>
      <c r="H33" s="63">
        <f>$C$27</f>
        <v>769000</v>
      </c>
    </row>
    <row r="34" spans="2:253" s="5" customFormat="1" ht="14.1" customHeight="1">
      <c r="B34" s="40"/>
      <c r="C34" s="41"/>
      <c r="D34" s="58"/>
      <c r="E34" s="59"/>
      <c r="F34" s="59"/>
      <c r="G34" s="58"/>
      <c r="H34" s="82"/>
    </row>
    <row r="35" spans="2:253" s="5" customFormat="1" ht="14.1" customHeight="1">
      <c r="B35" s="40"/>
      <c r="C35" s="41"/>
      <c r="D35" s="58"/>
      <c r="E35" s="58"/>
      <c r="F35" s="58"/>
      <c r="G35" s="58"/>
      <c r="H35" s="63"/>
    </row>
    <row r="36" spans="2:253" s="5" customFormat="1" ht="14.1" customHeight="1">
      <c r="B36" s="2"/>
      <c r="C36" s="1"/>
    </row>
    <row r="37" spans="2:253" s="5" customFormat="1" ht="14.1" customHeight="1">
      <c r="B37" s="36" t="s">
        <v>39</v>
      </c>
      <c r="C37" s="36"/>
      <c r="D37" s="55" t="s">
        <v>40</v>
      </c>
      <c r="E37" s="55" t="s">
        <v>41</v>
      </c>
    </row>
    <row r="38" spans="2:253" s="5" customFormat="1" ht="14.1" customHeight="1">
      <c r="B38" s="75" t="s">
        <v>32</v>
      </c>
      <c r="C38" s="84">
        <f>E38/E42</f>
        <v>0.39</v>
      </c>
      <c r="D38" s="78">
        <f>SUMPRODUCT($F$24:$F$24,$J$24:$J$24)</f>
        <v>299910</v>
      </c>
      <c r="E38" s="78">
        <f>$D38+($C$27-SUM($D$38:$D$41))*($D38/$D$42)</f>
        <v>299910</v>
      </c>
    </row>
    <row r="39" spans="2:253" s="5" customFormat="1" ht="14.1" customHeight="1">
      <c r="B39" s="75" t="s">
        <v>33</v>
      </c>
      <c r="C39" s="84">
        <f>E39/E42</f>
        <v>0.4</v>
      </c>
      <c r="D39" s="78">
        <f>SUMPRODUCT($F$24:$F$24,$K$24:$K$24)</f>
        <v>307600</v>
      </c>
      <c r="E39" s="78">
        <f>$D39+($C$27-SUM($D$38:$D$41))*($D39/$D$42)</f>
        <v>307600</v>
      </c>
      <c r="F39" s="257"/>
      <c r="H39" s="22"/>
      <c r="K39" s="214"/>
    </row>
    <row r="40" spans="2:253" s="5" customFormat="1" ht="14.1" customHeight="1">
      <c r="B40" s="75" t="s">
        <v>34</v>
      </c>
      <c r="C40" s="84">
        <f>E40/E42</f>
        <v>0.19</v>
      </c>
      <c r="D40" s="78">
        <f>SUMPRODUCT($F$24:$F$24,$L$24:$L$24)</f>
        <v>146110</v>
      </c>
      <c r="E40" s="78">
        <f>$D40+($C$27-SUM($D$38:$D$41))*($D40/$D$42)</f>
        <v>146110</v>
      </c>
      <c r="F40" s="257"/>
      <c r="H40" s="22"/>
    </row>
    <row r="41" spans="2:253" s="5" customFormat="1" ht="14.1" customHeight="1">
      <c r="B41" s="75" t="s">
        <v>35</v>
      </c>
      <c r="C41" s="84">
        <f>E41/E42</f>
        <v>0.02</v>
      </c>
      <c r="D41" s="78">
        <f>SUMPRODUCT($F$24:$F$24,$M$24:$M$24)</f>
        <v>15380</v>
      </c>
      <c r="E41" s="78">
        <f>$D41+($C$27-SUM($D$38:$D$41))*($D41/$D$42)</f>
        <v>15380</v>
      </c>
      <c r="F41" s="257"/>
    </row>
    <row r="42" spans="2:253" s="5" customFormat="1" ht="12.75" customHeight="1">
      <c r="B42" s="77" t="s">
        <v>10</v>
      </c>
      <c r="C42" s="85">
        <f>SUM(C38:C41)</f>
        <v>1</v>
      </c>
      <c r="D42" s="79">
        <f>SUM(D38:D41)</f>
        <v>769000</v>
      </c>
      <c r="E42" s="79">
        <f>SUM(E38:E41)</f>
        <v>769000</v>
      </c>
    </row>
    <row r="43" spans="2:253" s="5" customFormat="1" ht="12.75" customHeight="1">
      <c r="B43" s="2"/>
      <c r="C43" s="2"/>
      <c r="D43" s="2"/>
      <c r="E43" s="76"/>
    </row>
    <row r="44" spans="2:253" s="5" customFormat="1" ht="12.75" customHeight="1">
      <c r="E44" s="20"/>
      <c r="F44" s="6"/>
    </row>
    <row r="45" spans="2:253" s="5" customFormat="1" ht="12.75" customHeight="1">
      <c r="E45" s="20"/>
    </row>
    <row r="46" spans="2:253" s="5" customFormat="1" ht="12.75" customHeight="1">
      <c r="D46" s="21"/>
      <c r="E46" s="20"/>
    </row>
    <row r="47" spans="2:253" s="5" customFormat="1" ht="12.75" customHeight="1">
      <c r="D47" s="21"/>
      <c r="E47" s="20"/>
    </row>
    <row r="48" spans="2:253" s="5" customFormat="1" ht="12.75" customHeight="1">
      <c r="E48" s="20"/>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row>
    <row r="49" spans="4:5" s="5" customFormat="1" ht="12.75" customHeight="1">
      <c r="D49" s="21"/>
      <c r="E49" s="20"/>
    </row>
    <row r="50" spans="4:5" s="5" customFormat="1" ht="12.75" customHeight="1">
      <c r="E50" s="20"/>
    </row>
    <row r="51" spans="4:5" ht="12.75" customHeight="1">
      <c r="E51" s="20"/>
    </row>
    <row r="52" spans="4:5" ht="12.75" customHeight="1">
      <c r="E52" s="4"/>
    </row>
    <row r="53" spans="4:5">
      <c r="E53" s="3"/>
    </row>
    <row r="65" spans="4:5">
      <c r="D65" s="3"/>
      <c r="E65" s="3"/>
    </row>
  </sheetData>
  <mergeCells count="4">
    <mergeCell ref="E4:F4"/>
    <mergeCell ref="D5:G5"/>
    <mergeCell ref="B13:H15"/>
    <mergeCell ref="B18:H19"/>
  </mergeCells>
  <dataValidations count="2">
    <dataValidation type="list" allowBlank="1" showInputMessage="1" showErrorMessage="1" sqref="E4" xr:uid="{00000000-0002-0000-1D00-000000000000}">
      <formula1>enterprise</formula1>
    </dataValidation>
    <dataValidation type="list" allowBlank="1" showInputMessage="1" showErrorMessage="1" sqref="G24" xr:uid="{00000000-0002-0000-1D00-000001000000}">
      <formula1>allocation</formula1>
    </dataValidation>
  </dataValidations>
  <pageMargins left="0.7" right="0.7" top="0.75" bottom="0.75" header="0.3" footer="0.3"/>
  <pageSetup scale="9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N33"/>
  <sheetViews>
    <sheetView workbookViewId="0">
      <selection activeCell="I30" sqref="G30:I31"/>
    </sheetView>
  </sheetViews>
  <sheetFormatPr defaultColWidth="9.140625" defaultRowHeight="12.75"/>
  <cols>
    <col min="1" max="1" width="30.85546875" style="8" customWidth="1"/>
    <col min="2" max="7" width="12.7109375" style="8" customWidth="1"/>
    <col min="8" max="8" width="9.140625" style="8"/>
    <col min="9" max="9" width="11.42578125" style="8" customWidth="1"/>
    <col min="10" max="10" width="13" style="8" customWidth="1"/>
    <col min="11" max="12" width="13.7109375" style="8" customWidth="1"/>
    <col min="13" max="13" width="14.140625" style="8" customWidth="1"/>
    <col min="14" max="16384" width="9.140625" style="8"/>
  </cols>
  <sheetData>
    <row r="1" spans="1:8" ht="15.75">
      <c r="A1" s="7" t="s">
        <v>153</v>
      </c>
    </row>
    <row r="2" spans="1:8">
      <c r="A2" s="8" t="s">
        <v>154</v>
      </c>
      <c r="H2" s="26"/>
    </row>
    <row r="3" spans="1:8">
      <c r="A3" s="9" t="s">
        <v>155</v>
      </c>
      <c r="F3" s="24"/>
    </row>
    <row r="4" spans="1:8">
      <c r="A4" s="9"/>
      <c r="F4" s="24"/>
    </row>
    <row r="5" spans="1:8">
      <c r="A5" s="207"/>
      <c r="B5" s="207"/>
      <c r="C5" s="208" t="s">
        <v>156</v>
      </c>
      <c r="D5" s="208" t="s">
        <v>157</v>
      </c>
      <c r="E5" s="208" t="s">
        <v>158</v>
      </c>
      <c r="F5" s="208" t="s">
        <v>159</v>
      </c>
      <c r="G5" s="207"/>
    </row>
    <row r="6" spans="1:8">
      <c r="C6" s="10"/>
      <c r="D6" s="10"/>
      <c r="E6" s="10"/>
    </row>
    <row r="7" spans="1:8" ht="13.5" thickBot="1">
      <c r="A7" s="27"/>
      <c r="B7" s="209" t="s">
        <v>160</v>
      </c>
      <c r="C7" s="210">
        <v>2.7E-2</v>
      </c>
      <c r="D7" s="210">
        <v>0.05</v>
      </c>
      <c r="E7" s="210"/>
      <c r="F7" s="211">
        <v>-0.2</v>
      </c>
      <c r="G7" s="209" t="s">
        <v>161</v>
      </c>
    </row>
    <row r="8" spans="1:8">
      <c r="A8" s="8" t="s">
        <v>162</v>
      </c>
      <c r="B8" s="26">
        <v>32.440781250000001</v>
      </c>
      <c r="C8" s="26">
        <f>B8*(1+$C$7)</f>
        <v>33.316682343749996</v>
      </c>
      <c r="D8" s="26"/>
      <c r="E8" s="212">
        <f>(1+0.61%)*C8</f>
        <v>33.519914106046869</v>
      </c>
      <c r="F8" s="26"/>
      <c r="G8" s="26">
        <f>E8*80*26</f>
        <v>69721.421340577494</v>
      </c>
    </row>
    <row r="9" spans="1:8">
      <c r="A9" s="8" t="s">
        <v>163</v>
      </c>
      <c r="B9" s="26">
        <v>22.24</v>
      </c>
      <c r="C9" s="26">
        <f>B9*(1+$C$7)</f>
        <v>22.840479999999996</v>
      </c>
      <c r="D9" s="26">
        <f>C9*(1+$D$7)</f>
        <v>23.982503999999995</v>
      </c>
      <c r="E9" s="26"/>
      <c r="F9" s="26"/>
      <c r="G9" s="26">
        <f>D9*80*26</f>
        <v>49883.608319999985</v>
      </c>
    </row>
    <row r="10" spans="1:8">
      <c r="A10" s="205"/>
      <c r="B10" s="206"/>
      <c r="C10" s="206"/>
      <c r="D10" s="206"/>
      <c r="E10" s="206"/>
      <c r="F10" s="206"/>
      <c r="G10" s="206">
        <f>SUM(G8:G9)</f>
        <v>119605.02966057748</v>
      </c>
    </row>
    <row r="11" spans="1:8">
      <c r="B11" s="26"/>
      <c r="C11" s="26"/>
      <c r="D11" s="26"/>
      <c r="E11" s="26"/>
      <c r="F11" s="26"/>
      <c r="G11" s="26"/>
    </row>
    <row r="12" spans="1:8">
      <c r="A12" s="8" t="s">
        <v>164</v>
      </c>
      <c r="B12" s="26">
        <v>35.629874999999998</v>
      </c>
      <c r="C12" s="26">
        <f>B12*(1+$C$7)</f>
        <v>36.591881624999992</v>
      </c>
      <c r="D12" s="26">
        <f>C12*(1+$D$7)</f>
        <v>38.421475706249993</v>
      </c>
      <c r="E12" s="213">
        <f>(1+2.1%)*C12</f>
        <v>37.360311139124988</v>
      </c>
      <c r="F12" s="26"/>
      <c r="G12" s="26">
        <f>E12*80*26</f>
        <v>77709.447169379971</v>
      </c>
    </row>
    <row r="13" spans="1:8">
      <c r="A13" s="8" t="s">
        <v>165</v>
      </c>
      <c r="B13" s="26">
        <v>33.012618750000001</v>
      </c>
      <c r="C13" s="26">
        <f>B13*(1+$C$7)</f>
        <v>33.90395945625</v>
      </c>
      <c r="D13" s="26"/>
      <c r="E13" s="26"/>
      <c r="F13" s="26"/>
      <c r="G13" s="26">
        <f>C13*80*26</f>
        <v>70520.235669000002</v>
      </c>
    </row>
    <row r="14" spans="1:8">
      <c r="A14" s="8" t="s">
        <v>166</v>
      </c>
      <c r="B14" s="26">
        <v>27.14</v>
      </c>
      <c r="C14" s="26">
        <f>B14*(1+$C$7)</f>
        <v>27.872779999999999</v>
      </c>
      <c r="D14" s="26">
        <f>C14*(1+$D$7)</f>
        <v>29.266418999999999</v>
      </c>
      <c r="E14" s="26"/>
      <c r="F14" s="26"/>
      <c r="G14" s="26">
        <f t="shared" ref="G14" si="0">D14*80*26</f>
        <v>60874.151519999992</v>
      </c>
    </row>
    <row r="15" spans="1:8">
      <c r="A15" s="205" t="s">
        <v>10</v>
      </c>
      <c r="B15" s="206"/>
      <c r="C15" s="206"/>
      <c r="D15" s="206"/>
      <c r="E15" s="206"/>
      <c r="F15" s="206"/>
      <c r="G15" s="206">
        <f>SUM(G12:G14)</f>
        <v>209103.83435837997</v>
      </c>
    </row>
    <row r="16" spans="1:8">
      <c r="B16" s="26"/>
      <c r="C16" s="26"/>
      <c r="D16" s="26"/>
      <c r="E16" s="26"/>
      <c r="F16" s="26"/>
      <c r="G16" s="26"/>
    </row>
    <row r="17" spans="1:14">
      <c r="A17" s="8" t="s">
        <v>167</v>
      </c>
      <c r="B17" s="26">
        <v>130000</v>
      </c>
      <c r="C17" s="26">
        <f>B17*(1+$C$7)</f>
        <v>133510</v>
      </c>
      <c r="D17" s="26"/>
      <c r="E17" s="26">
        <f>(1+0.015)*C17</f>
        <v>135512.65</v>
      </c>
      <c r="F17" s="26">
        <f>C17*(1+$F$7)</f>
        <v>106808</v>
      </c>
      <c r="G17" s="26">
        <f>F17</f>
        <v>106808</v>
      </c>
    </row>
    <row r="18" spans="1:14">
      <c r="A18" s="8" t="s">
        <v>168</v>
      </c>
      <c r="B18" s="26">
        <v>103000</v>
      </c>
      <c r="C18" s="26">
        <f>B18*(1+$C$7)</f>
        <v>105780.99999999999</v>
      </c>
      <c r="D18" s="26"/>
      <c r="E18" s="26">
        <f>(1+0.015)*C18</f>
        <v>107367.71499999998</v>
      </c>
      <c r="F18" s="26"/>
      <c r="G18" s="26">
        <f>C18</f>
        <v>105780.99999999999</v>
      </c>
    </row>
    <row r="19" spans="1:14">
      <c r="A19" s="8" t="s">
        <v>169</v>
      </c>
      <c r="B19" s="26">
        <v>82000</v>
      </c>
      <c r="C19" s="26">
        <f>B19*(1+$C$7)</f>
        <v>84214</v>
      </c>
      <c r="D19" s="26"/>
      <c r="E19" s="26">
        <f>(1+0.015)*C19</f>
        <v>85477.209999999992</v>
      </c>
      <c r="F19" s="26"/>
      <c r="G19" s="26">
        <f>C19</f>
        <v>84214</v>
      </c>
    </row>
    <row r="20" spans="1:14">
      <c r="A20" s="205" t="s">
        <v>10</v>
      </c>
      <c r="B20" s="206"/>
      <c r="C20" s="206"/>
      <c r="D20" s="206"/>
      <c r="E20" s="206"/>
      <c r="F20" s="206"/>
      <c r="G20" s="206">
        <f>SUM(G17:G19)</f>
        <v>296803</v>
      </c>
    </row>
    <row r="21" spans="1:14">
      <c r="G21" s="26"/>
      <c r="I21" s="30"/>
      <c r="J21" s="30"/>
      <c r="M21" s="26"/>
    </row>
    <row r="22" spans="1:14">
      <c r="F22" s="8" t="s">
        <v>170</v>
      </c>
      <c r="G22" s="26">
        <f>G10+G15+G20</f>
        <v>625511.86401895748</v>
      </c>
      <c r="I22" s="26"/>
      <c r="J22" s="26"/>
    </row>
    <row r="23" spans="1:14">
      <c r="G23" s="26"/>
      <c r="I23" s="26"/>
      <c r="J23" s="26"/>
    </row>
    <row r="24" spans="1:14">
      <c r="A24" s="8" t="s">
        <v>171</v>
      </c>
      <c r="B24" s="11"/>
      <c r="C24" s="10"/>
      <c r="D24" s="12"/>
      <c r="E24" s="12"/>
      <c r="G24" s="15">
        <v>25000</v>
      </c>
      <c r="I24" s="28"/>
      <c r="J24" s="28"/>
      <c r="K24" s="28"/>
      <c r="L24" s="28"/>
      <c r="M24" s="28"/>
      <c r="N24" s="28"/>
    </row>
    <row r="25" spans="1:14">
      <c r="A25" s="8" t="s">
        <v>172</v>
      </c>
      <c r="B25" s="11"/>
      <c r="C25" s="10"/>
      <c r="D25" s="12"/>
      <c r="E25" s="12"/>
      <c r="G25" s="15">
        <v>0</v>
      </c>
      <c r="I25" s="28"/>
      <c r="J25" s="28"/>
      <c r="K25" s="28"/>
      <c r="L25" s="28"/>
      <c r="M25" s="28"/>
      <c r="N25" s="28"/>
    </row>
    <row r="26" spans="1:14">
      <c r="A26" s="8" t="s">
        <v>173</v>
      </c>
      <c r="B26" s="16"/>
      <c r="G26" s="17">
        <v>20000</v>
      </c>
      <c r="I26" s="28"/>
      <c r="J26" s="28"/>
      <c r="K26" s="28"/>
      <c r="L26" s="28"/>
      <c r="M26" s="28"/>
      <c r="N26" s="28"/>
    </row>
    <row r="27" spans="1:14">
      <c r="B27" s="13"/>
      <c r="C27" s="10"/>
      <c r="G27" s="11"/>
      <c r="I27" s="28"/>
      <c r="J27" s="28"/>
      <c r="K27" s="28"/>
      <c r="L27" s="28"/>
      <c r="M27" s="28"/>
      <c r="N27" s="28"/>
    </row>
    <row r="28" spans="1:14" ht="13.5" thickBot="1">
      <c r="A28" s="8" t="s">
        <v>10</v>
      </c>
      <c r="G28" s="14">
        <f>SUM(G22:G26)</f>
        <v>670511.86401895748</v>
      </c>
      <c r="I28" s="28"/>
      <c r="J28" s="28"/>
      <c r="K28" s="28"/>
      <c r="L28" s="28"/>
      <c r="M28" s="28"/>
      <c r="N28" s="28"/>
    </row>
    <row r="29" spans="1:14" ht="13.5" thickTop="1">
      <c r="A29" s="9"/>
      <c r="I29" s="28"/>
      <c r="J29" s="28"/>
      <c r="K29" s="28"/>
      <c r="L29" s="28"/>
      <c r="M29" s="28"/>
      <c r="N29" s="28"/>
    </row>
    <row r="30" spans="1:14">
      <c r="A30" s="9" t="s">
        <v>174</v>
      </c>
      <c r="G30" s="11">
        <f>ROUND(G28,-3)</f>
        <v>671000</v>
      </c>
      <c r="I30" s="28"/>
      <c r="J30" s="28"/>
      <c r="K30" s="28"/>
      <c r="L30" s="28"/>
      <c r="M30" s="28"/>
      <c r="N30" s="28"/>
    </row>
    <row r="31" spans="1:14">
      <c r="F31" s="11"/>
      <c r="I31" s="28"/>
      <c r="J31" s="28"/>
      <c r="K31" s="28"/>
      <c r="L31" s="28"/>
      <c r="M31" s="28"/>
      <c r="N31" s="28"/>
    </row>
    <row r="32" spans="1:14">
      <c r="A32" s="29"/>
      <c r="F32" s="19"/>
      <c r="I32" s="28"/>
      <c r="J32" s="28"/>
      <c r="K32" s="28"/>
      <c r="L32" s="28"/>
      <c r="M32" s="28"/>
      <c r="N32" s="28"/>
    </row>
    <row r="33" spans="4:14">
      <c r="D33" s="212"/>
      <c r="F33" s="18"/>
      <c r="I33" s="28"/>
      <c r="J33" s="28"/>
      <c r="K33" s="28"/>
      <c r="L33" s="28"/>
      <c r="M33" s="28"/>
      <c r="N33" s="28"/>
    </row>
  </sheetData>
  <pageMargins left="0.75" right="0.75" top="1" bottom="1" header="0.5" footer="0.5"/>
  <pageSetup orientation="portrait" r:id="rId1"/>
  <headerFooter alignWithMargins="0">
    <oddFooter xml:space="preserve">&amp;C&amp;Z&amp;F&amp;D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pageSetUpPr fitToPage="1"/>
  </sheetPr>
  <dimension ref="B2:IS65"/>
  <sheetViews>
    <sheetView workbookViewId="0">
      <selection activeCell="H34" sqref="H34"/>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E33</f>
        <v>29000</v>
      </c>
      <c r="K2" s="120">
        <f t="shared" ref="K2:M2" si="0">F33</f>
        <v>8700</v>
      </c>
      <c r="L2" s="120">
        <f t="shared" si="0"/>
        <v>28000</v>
      </c>
      <c r="M2" s="120">
        <f t="shared" si="0"/>
        <v>33000</v>
      </c>
    </row>
    <row r="3" spans="2:13" ht="14.1" customHeight="1">
      <c r="B3" s="40"/>
      <c r="C3" s="40"/>
      <c r="D3" s="40"/>
      <c r="E3" s="40"/>
      <c r="F3" s="40"/>
      <c r="G3" s="40"/>
      <c r="H3" s="40"/>
      <c r="J3" s="121">
        <f>C38</f>
        <v>0.39</v>
      </c>
      <c r="K3" s="121"/>
      <c r="L3" s="121"/>
      <c r="M3" s="121"/>
    </row>
    <row r="4" spans="2:13" ht="23.25" customHeight="1">
      <c r="B4" s="40"/>
      <c r="C4" s="40"/>
      <c r="D4" s="40"/>
      <c r="E4" s="316" t="s">
        <v>118</v>
      </c>
      <c r="F4" s="316"/>
      <c r="G4" s="41"/>
      <c r="H4" s="40"/>
      <c r="J4" s="121">
        <f t="shared" ref="J4:J6" si="1">C39</f>
        <v>0.4</v>
      </c>
    </row>
    <row r="5" spans="2:13" ht="14.1" customHeight="1">
      <c r="B5" s="42"/>
      <c r="C5" s="42"/>
      <c r="D5" s="312" t="str">
        <f>'Operating Budget'!B54</f>
        <v>Payroll Taxes</v>
      </c>
      <c r="E5" s="312"/>
      <c r="F5" s="312"/>
      <c r="G5" s="312"/>
      <c r="H5" s="43"/>
      <c r="J5" s="121">
        <f t="shared" si="1"/>
        <v>0.19</v>
      </c>
    </row>
    <row r="6" spans="2:13" ht="19.5" customHeight="1">
      <c r="B6" s="40"/>
      <c r="C6" s="40"/>
      <c r="D6" s="40"/>
      <c r="E6" s="40"/>
      <c r="H6" s="40"/>
      <c r="J6" s="121">
        <f t="shared" si="1"/>
        <v>0.02</v>
      </c>
    </row>
    <row r="7" spans="2:13" ht="14.1" hidden="1" customHeight="1">
      <c r="B7" s="40"/>
      <c r="C7" s="40"/>
      <c r="D7" s="40"/>
      <c r="E7" s="40"/>
      <c r="F7" s="44"/>
      <c r="G7" s="44"/>
      <c r="H7" s="40"/>
    </row>
    <row r="8" spans="2:13" ht="14.1" customHeight="1">
      <c r="B8" s="41" t="s">
        <v>2</v>
      </c>
      <c r="C8" s="40">
        <f>'Operating Budget'!C54</f>
        <v>4500</v>
      </c>
      <c r="D8" s="40"/>
      <c r="E8" s="40"/>
      <c r="F8" s="40"/>
      <c r="G8" s="233"/>
      <c r="H8" s="40"/>
    </row>
    <row r="9" spans="2:13" ht="14.1" customHeight="1">
      <c r="B9" s="41" t="s">
        <v>3</v>
      </c>
      <c r="C9" s="40">
        <f>INDEX('Operating Budget'!$A$11:$A$107,MATCH('25'!C8,'Operating Budget'!C11:C107))</f>
        <v>25</v>
      </c>
      <c r="D9" s="40"/>
      <c r="E9" s="40"/>
      <c r="F9" s="40"/>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175</v>
      </c>
      <c r="C13" s="319"/>
      <c r="D13" s="319"/>
      <c r="E13" s="319"/>
      <c r="F13" s="319"/>
      <c r="G13" s="319"/>
      <c r="H13" s="319"/>
    </row>
    <row r="14" spans="2:13" ht="14.1" hidden="1" customHeight="1">
      <c r="B14" s="319"/>
      <c r="C14" s="319"/>
      <c r="D14" s="319"/>
      <c r="E14" s="319"/>
      <c r="F14" s="319"/>
      <c r="G14" s="319"/>
      <c r="H14" s="319"/>
    </row>
    <row r="15" spans="2:13" ht="14.1" hidden="1" customHeight="1">
      <c r="B15" s="319"/>
      <c r="C15" s="319"/>
      <c r="D15" s="319"/>
      <c r="E15" s="319"/>
      <c r="F15" s="319"/>
      <c r="G15" s="319"/>
      <c r="H15" s="319"/>
    </row>
    <row r="16" spans="2:13" ht="14.1" customHeight="1">
      <c r="B16" s="45"/>
      <c r="C16" s="45"/>
      <c r="D16" s="45"/>
      <c r="E16" s="45"/>
      <c r="F16" s="197"/>
      <c r="G16" s="45"/>
      <c r="H16" s="45"/>
    </row>
    <row r="17" spans="2:13" ht="14.1" customHeight="1">
      <c r="B17" s="41" t="str">
        <f>"Changes for FY "&amp;MASTER!$B$4&amp;" - "&amp;MASTER!$B$5&amp;":"</f>
        <v>Changes for FY 2021 - 2022:</v>
      </c>
      <c r="C17" s="45"/>
      <c r="D17" s="45"/>
      <c r="E17" s="45"/>
      <c r="F17" s="45"/>
      <c r="G17" s="45"/>
      <c r="H17" s="45"/>
    </row>
    <row r="18" spans="2:13" ht="14.1" customHeight="1">
      <c r="B18" s="319"/>
      <c r="C18" s="319"/>
      <c r="D18" s="319"/>
      <c r="E18" s="319"/>
      <c r="F18" s="319"/>
      <c r="G18" s="319"/>
      <c r="H18" s="319"/>
    </row>
    <row r="19" spans="2:13" ht="14.1" hidden="1" customHeight="1">
      <c r="B19" s="319"/>
      <c r="C19" s="319"/>
      <c r="D19" s="319"/>
      <c r="E19" s="319"/>
      <c r="F19" s="319"/>
      <c r="G19" s="319"/>
      <c r="H19" s="319"/>
    </row>
    <row r="20" spans="2:13" ht="14.1" customHeight="1">
      <c r="B20" s="310"/>
      <c r="C20" s="310"/>
      <c r="D20" s="310"/>
      <c r="E20" s="310"/>
      <c r="F20" s="310"/>
      <c r="G20" s="310"/>
      <c r="H20" s="310"/>
    </row>
    <row r="21" spans="2:13" s="5" customFormat="1" ht="14.1" customHeight="1">
      <c r="B21" s="36" t="s">
        <v>7</v>
      </c>
      <c r="C21" s="37"/>
      <c r="D21" s="37"/>
      <c r="E21" s="37"/>
      <c r="F21" s="37"/>
      <c r="G21" s="37"/>
      <c r="H21" s="38"/>
    </row>
    <row r="22" spans="2:13" s="5" customFormat="1" ht="14.1" customHeight="1">
      <c r="B22" s="40"/>
      <c r="C22" s="41"/>
      <c r="D22" s="40"/>
      <c r="E22" s="40"/>
      <c r="F22" s="40"/>
      <c r="G22" s="40"/>
      <c r="H22" s="40"/>
    </row>
    <row r="23" spans="2:13" s="5" customFormat="1" ht="14.1" customHeight="1">
      <c r="B23" s="67" t="str">
        <f>$D$5</f>
        <v>Payroll Taxes</v>
      </c>
      <c r="C23" s="67"/>
      <c r="D23" s="68"/>
      <c r="E23" s="68"/>
      <c r="F23" s="68" t="s">
        <v>10</v>
      </c>
      <c r="G23" s="69" t="s">
        <v>31</v>
      </c>
      <c r="H23" s="40"/>
      <c r="J23" s="73" t="s">
        <v>32</v>
      </c>
      <c r="K23" s="73" t="s">
        <v>33</v>
      </c>
      <c r="L23" s="73" t="s">
        <v>34</v>
      </c>
      <c r="M23" s="73" t="s">
        <v>35</v>
      </c>
    </row>
    <row r="24" spans="2:13" s="5" customFormat="1" ht="14.1" customHeight="1">
      <c r="B24" s="64" t="s">
        <v>176</v>
      </c>
      <c r="C24" s="57"/>
      <c r="D24" s="80"/>
      <c r="E24" s="66"/>
      <c r="F24" s="66">
        <v>33000</v>
      </c>
      <c r="G24" s="71" t="s">
        <v>152</v>
      </c>
      <c r="H24" s="40"/>
      <c r="J24" s="74">
        <f>INDEX(MASTER!$C$25:$F$42,MATCH($G24,allocation,0),MATCH(J$23,MASTER!$C$24:$F$24,0))</f>
        <v>0.39</v>
      </c>
      <c r="K24" s="74">
        <f>INDEX(MASTER!$C$25:$F$42,MATCH($G24,allocation,0),MATCH(K$23,MASTER!$C$24:$F$24,0))</f>
        <v>0.4</v>
      </c>
      <c r="L24" s="74">
        <f>INDEX(MASTER!$C$25:$F$42,MATCH($G24,allocation,0),MATCH(L$23,MASTER!$C$24:$F$24,0))</f>
        <v>0.19</v>
      </c>
      <c r="M24" s="74">
        <f>INDEX(MASTER!$C$25:$F$42,MATCH($G24,allocation,0),MATCH(M$23,MASTER!$C$24:$F$24,0))</f>
        <v>0.02</v>
      </c>
    </row>
    <row r="25" spans="2:13" s="5" customFormat="1" ht="14.1" customHeight="1" thickBot="1">
      <c r="B25" s="49" t="s">
        <v>10</v>
      </c>
      <c r="C25" s="49"/>
      <c r="D25" s="49"/>
      <c r="E25" s="49"/>
      <c r="F25" s="50">
        <f>SUM(F24:F24)</f>
        <v>33000</v>
      </c>
      <c r="G25" s="49"/>
      <c r="H25" s="40"/>
    </row>
    <row r="26" spans="2:13" s="5" customFormat="1" ht="14.1" customHeight="1" thickTop="1">
      <c r="B26" s="40"/>
      <c r="C26" s="41"/>
      <c r="G26" s="40"/>
      <c r="H26" s="40"/>
    </row>
    <row r="27" spans="2:13" s="5" customFormat="1" ht="14.1" customHeight="1">
      <c r="B27" s="41" t="s">
        <v>11</v>
      </c>
      <c r="C27" s="35">
        <f>ROUNDUP($F$25,-$B$28)</f>
        <v>33000</v>
      </c>
      <c r="F27" s="40"/>
      <c r="G27" s="40"/>
      <c r="H27" s="40"/>
    </row>
    <row r="28" spans="2:13" s="5" customFormat="1" ht="14.1" customHeight="1">
      <c r="B28" s="51">
        <v>3</v>
      </c>
      <c r="C28" s="41"/>
      <c r="D28" s="40"/>
      <c r="E28" s="40"/>
      <c r="F28" s="40"/>
      <c r="G28" s="40"/>
      <c r="H28" s="40"/>
    </row>
    <row r="29" spans="2:13" s="5" customFormat="1" ht="14.1" customHeight="1">
      <c r="B29" s="40"/>
      <c r="C29" s="41"/>
      <c r="D29" s="40"/>
      <c r="E29" s="40"/>
      <c r="F29" s="40"/>
      <c r="G29" s="40"/>
      <c r="H29" s="40"/>
    </row>
    <row r="30" spans="2:13" s="5" customFormat="1" ht="14.1" customHeight="1">
      <c r="B30" s="40"/>
      <c r="C30" s="41"/>
      <c r="D30" s="40"/>
      <c r="E30" s="53" t="s">
        <v>12</v>
      </c>
      <c r="F30" s="54" t="s">
        <v>13</v>
      </c>
      <c r="G30" s="54" t="s">
        <v>14</v>
      </c>
      <c r="H30" s="55" t="s">
        <v>15</v>
      </c>
    </row>
    <row r="31" spans="2:13" s="5" customFormat="1" ht="14.1" customHeight="1">
      <c r="B31" s="36"/>
      <c r="C31" s="36"/>
      <c r="D31" s="36"/>
      <c r="E31" s="53" t="str">
        <f>"FY "&amp;MASTER!$B$4-1&amp;" - "&amp;MASTER!$B$4</f>
        <v>FY 2020 - 2021</v>
      </c>
      <c r="F31" s="56">
        <f>MASTER!$B$6</f>
        <v>44255</v>
      </c>
      <c r="G31" s="54" t="str">
        <f>"June "&amp;MASTER!$B$4</f>
        <v>June 2021</v>
      </c>
      <c r="H31" s="55" t="str">
        <f>"FY "&amp;MASTER!$B$4&amp;" - "&amp;MASTER!$B$5</f>
        <v>FY 2021 - 2022</v>
      </c>
    </row>
    <row r="32" spans="2:13" s="5" customFormat="1" ht="14.1" customHeight="1">
      <c r="B32" s="57"/>
      <c r="C32" s="57"/>
      <c r="D32" s="58"/>
      <c r="E32" s="59"/>
      <c r="F32" s="60"/>
      <c r="G32" s="60"/>
      <c r="H32" s="58"/>
    </row>
    <row r="33" spans="2:253" s="5" customFormat="1" ht="14.1" customHeight="1">
      <c r="B33" s="40" t="str">
        <f>$D$5</f>
        <v>Payroll Taxes</v>
      </c>
      <c r="C33" s="41"/>
      <c r="D33" s="58"/>
      <c r="E33" s="61">
        <v>29000</v>
      </c>
      <c r="F33" s="62">
        <v>8700</v>
      </c>
      <c r="G33" s="62">
        <v>28000</v>
      </c>
      <c r="H33" s="63">
        <v>33000</v>
      </c>
    </row>
    <row r="34" spans="2:253" s="5" customFormat="1" ht="14.1" customHeight="1">
      <c r="B34" s="40"/>
      <c r="C34" s="41"/>
      <c r="D34" s="58"/>
      <c r="E34" s="59"/>
      <c r="F34" s="59"/>
      <c r="G34" s="58"/>
      <c r="H34" s="82"/>
    </row>
    <row r="35" spans="2:253" s="5" customFormat="1" ht="14.1" customHeight="1">
      <c r="B35" s="40"/>
      <c r="C35" s="41"/>
      <c r="D35" s="58"/>
      <c r="E35" s="58"/>
      <c r="F35" s="58"/>
      <c r="G35" s="58"/>
      <c r="H35" s="63"/>
    </row>
    <row r="36" spans="2:253" s="5" customFormat="1" ht="14.1" customHeight="1">
      <c r="B36" s="2"/>
      <c r="C36" s="1"/>
    </row>
    <row r="37" spans="2:253" s="5" customFormat="1" ht="14.1" customHeight="1">
      <c r="B37" s="36" t="s">
        <v>39</v>
      </c>
      <c r="C37" s="36"/>
      <c r="D37" s="55" t="s">
        <v>40</v>
      </c>
      <c r="E37" s="55" t="s">
        <v>41</v>
      </c>
    </row>
    <row r="38" spans="2:253" s="5" customFormat="1" ht="14.1" customHeight="1">
      <c r="B38" s="75" t="s">
        <v>32</v>
      </c>
      <c r="C38" s="84">
        <f>E38/E42</f>
        <v>0.39</v>
      </c>
      <c r="D38" s="78">
        <f>SUMPRODUCT($F$24:$F$24,$J$24:$J$24)</f>
        <v>12870</v>
      </c>
      <c r="E38" s="78">
        <f>$D38+($C$27-SUM($D$38:$D$41))*($D38/$D$42)</f>
        <v>12870</v>
      </c>
    </row>
    <row r="39" spans="2:253" s="5" customFormat="1" ht="14.1" customHeight="1">
      <c r="B39" s="75" t="s">
        <v>33</v>
      </c>
      <c r="C39" s="84">
        <f>E39/E42</f>
        <v>0.4</v>
      </c>
      <c r="D39" s="78">
        <f>SUMPRODUCT($F$24:$F$24,$K$24:$K$24)</f>
        <v>13200</v>
      </c>
      <c r="E39" s="78">
        <f>$D39+($C$27-SUM($D$38:$D$41))*($D39/$D$42)</f>
        <v>13200</v>
      </c>
    </row>
    <row r="40" spans="2:253" s="5" customFormat="1" ht="14.1" customHeight="1">
      <c r="B40" s="75" t="s">
        <v>34</v>
      </c>
      <c r="C40" s="84">
        <f>E40/E42</f>
        <v>0.19</v>
      </c>
      <c r="D40" s="78">
        <f>SUMPRODUCT($F$24:$F$24,$L$24:$L$24)</f>
        <v>6270</v>
      </c>
      <c r="E40" s="78">
        <f>$D40+($C$27-SUM($D$38:$D$41))*($D40/$D$42)</f>
        <v>6270</v>
      </c>
    </row>
    <row r="41" spans="2:253" s="5" customFormat="1" ht="14.1" customHeight="1">
      <c r="B41" s="75" t="s">
        <v>35</v>
      </c>
      <c r="C41" s="84">
        <f>E41/E42</f>
        <v>0.02</v>
      </c>
      <c r="D41" s="78">
        <f>SUMPRODUCT($F$24:$F$24,$M$24:$M$24)</f>
        <v>660</v>
      </c>
      <c r="E41" s="78">
        <f>$D41+($C$27-SUM($D$38:$D$41))*($D41/$D$42)</f>
        <v>660</v>
      </c>
    </row>
    <row r="42" spans="2:253" s="5" customFormat="1" ht="12.75" customHeight="1">
      <c r="B42" s="77" t="s">
        <v>10</v>
      </c>
      <c r="C42" s="85">
        <f>SUM(C38:C41)</f>
        <v>1</v>
      </c>
      <c r="D42" s="79">
        <f>SUM(D38:D41)</f>
        <v>33000</v>
      </c>
      <c r="E42" s="79">
        <f>SUM(E38:E41)</f>
        <v>33000</v>
      </c>
    </row>
    <row r="43" spans="2:253" s="5" customFormat="1" ht="12.75" customHeight="1">
      <c r="B43" s="2"/>
      <c r="C43" s="2"/>
      <c r="D43" s="2"/>
      <c r="E43" s="76"/>
    </row>
    <row r="44" spans="2:253" s="5" customFormat="1" ht="12.75" customHeight="1">
      <c r="E44" s="20"/>
      <c r="F44" s="6"/>
    </row>
    <row r="45" spans="2:253" s="5" customFormat="1" ht="12.75" customHeight="1">
      <c r="E45" s="20"/>
    </row>
    <row r="46" spans="2:253" s="5" customFormat="1" ht="12.75" customHeight="1">
      <c r="D46" s="21"/>
      <c r="E46" s="20"/>
    </row>
    <row r="47" spans="2:253" s="5" customFormat="1" ht="12.75" customHeight="1">
      <c r="D47" s="21"/>
      <c r="E47" s="20"/>
    </row>
    <row r="48" spans="2:253" s="5" customFormat="1" ht="12.75" customHeight="1">
      <c r="E48" s="20"/>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row>
    <row r="49" spans="4:5" s="5" customFormat="1" ht="12.75" customHeight="1">
      <c r="D49" s="21"/>
      <c r="E49" s="20"/>
    </row>
    <row r="50" spans="4:5" s="5" customFormat="1" ht="12.75" customHeight="1">
      <c r="E50" s="20"/>
    </row>
    <row r="51" spans="4:5" ht="12.75" customHeight="1">
      <c r="E51" s="20"/>
    </row>
    <row r="52" spans="4:5" ht="12.75" customHeight="1">
      <c r="E52" s="4"/>
    </row>
    <row r="53" spans="4:5">
      <c r="E53" s="3"/>
    </row>
    <row r="65" spans="4:5">
      <c r="D65" s="3"/>
      <c r="E65" s="3"/>
    </row>
  </sheetData>
  <mergeCells count="4">
    <mergeCell ref="E4:F4"/>
    <mergeCell ref="D5:G5"/>
    <mergeCell ref="B13:H15"/>
    <mergeCell ref="B18:H19"/>
  </mergeCells>
  <dataValidations count="2">
    <dataValidation type="list" allowBlank="1" showInputMessage="1" showErrorMessage="1" sqref="G24" xr:uid="{00000000-0002-0000-1F00-000000000000}">
      <formula1>allocation</formula1>
    </dataValidation>
    <dataValidation type="list" allowBlank="1" showInputMessage="1" showErrorMessage="1" sqref="E4" xr:uid="{00000000-0002-0000-1F00-000001000000}">
      <formula1>enterprise</formula1>
    </dataValidation>
  </dataValidations>
  <pageMargins left="0.7" right="0.7" top="0.75" bottom="0.75" header="0.3" footer="0.3"/>
  <pageSetup scale="94"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68">
    <pageSetUpPr fitToPage="1"/>
  </sheetPr>
  <dimension ref="B2:IS65"/>
  <sheetViews>
    <sheetView topLeftCell="A3" workbookViewId="0">
      <selection activeCell="H34" sqref="H34"/>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E33</f>
        <v>128000</v>
      </c>
      <c r="K2" s="120">
        <f t="shared" ref="K2:M2" si="0">F33</f>
        <v>76527</v>
      </c>
      <c r="L2" s="120">
        <f t="shared" si="0"/>
        <v>110000</v>
      </c>
      <c r="M2" s="120">
        <f t="shared" si="0"/>
        <v>140000</v>
      </c>
    </row>
    <row r="3" spans="2:13" ht="14.1" customHeight="1">
      <c r="B3" s="40"/>
      <c r="C3" s="40"/>
      <c r="D3" s="40"/>
      <c r="E3" s="40"/>
      <c r="F3" s="40"/>
      <c r="G3" s="40"/>
      <c r="H3" s="40"/>
      <c r="J3" s="121">
        <f>C38</f>
        <v>0.39</v>
      </c>
      <c r="K3" s="121"/>
      <c r="L3" s="121"/>
      <c r="M3" s="121"/>
    </row>
    <row r="4" spans="2:13" ht="23.25" customHeight="1">
      <c r="B4" s="40"/>
      <c r="C4" s="40"/>
      <c r="D4" s="40"/>
      <c r="E4" s="316" t="s">
        <v>118</v>
      </c>
      <c r="F4" s="316"/>
      <c r="G4" s="41"/>
      <c r="H4" s="40"/>
      <c r="J4" s="121">
        <f t="shared" ref="J4:J6" si="1">C39</f>
        <v>0.4</v>
      </c>
    </row>
    <row r="5" spans="2:13" ht="14.1" customHeight="1">
      <c r="B5" s="42"/>
      <c r="C5" s="42"/>
      <c r="D5" s="312" t="str">
        <f>'Operating Budget'!B55</f>
        <v>Group Insurance</v>
      </c>
      <c r="E5" s="312"/>
      <c r="F5" s="312"/>
      <c r="G5" s="312"/>
      <c r="H5" s="43"/>
      <c r="J5" s="121">
        <f t="shared" si="1"/>
        <v>0.19</v>
      </c>
    </row>
    <row r="6" spans="2:13" ht="19.5" customHeight="1">
      <c r="B6" s="40"/>
      <c r="C6" s="40"/>
      <c r="D6" s="40"/>
      <c r="E6" s="40"/>
      <c r="H6" s="40"/>
      <c r="J6" s="121">
        <f t="shared" si="1"/>
        <v>0.02</v>
      </c>
    </row>
    <row r="7" spans="2:13" ht="14.1" hidden="1" customHeight="1">
      <c r="B7" s="40"/>
      <c r="C7" s="40"/>
      <c r="D7" s="40"/>
      <c r="E7" s="40"/>
      <c r="F7" s="44"/>
      <c r="G7" s="44"/>
      <c r="H7" s="40"/>
    </row>
    <row r="8" spans="2:13" ht="14.1" customHeight="1">
      <c r="B8" s="41" t="s">
        <v>2</v>
      </c>
      <c r="C8" s="40">
        <f>'Operating Budget'!C55</f>
        <v>4525</v>
      </c>
      <c r="D8" s="40"/>
      <c r="E8" s="40"/>
      <c r="F8" s="40"/>
      <c r="G8" s="40"/>
      <c r="H8" s="40"/>
    </row>
    <row r="9" spans="2:13" ht="14.1" customHeight="1">
      <c r="B9" s="41" t="s">
        <v>3</v>
      </c>
      <c r="C9" s="40">
        <f>INDEX('Operating Budget'!$A$11:$A$107,MATCH('26'!C8,'Operating Budget'!C11:C107))</f>
        <v>26</v>
      </c>
      <c r="D9" s="40"/>
      <c r="E9" s="40"/>
      <c r="F9" s="202"/>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177</v>
      </c>
      <c r="C13" s="319"/>
      <c r="D13" s="319"/>
      <c r="E13" s="319"/>
      <c r="F13" s="319"/>
      <c r="G13" s="319"/>
      <c r="H13" s="319"/>
      <c r="I13" s="6"/>
      <c r="J13" s="6"/>
    </row>
    <row r="14" spans="2:13" ht="14.1" hidden="1" customHeight="1">
      <c r="B14" s="319"/>
      <c r="C14" s="319"/>
      <c r="D14" s="319"/>
      <c r="E14" s="319"/>
      <c r="F14" s="319"/>
      <c r="G14" s="319"/>
      <c r="H14" s="319"/>
    </row>
    <row r="15" spans="2:13" ht="14.1" hidden="1" customHeight="1">
      <c r="B15" s="319"/>
      <c r="C15" s="319"/>
      <c r="D15" s="319"/>
      <c r="E15" s="319"/>
      <c r="F15" s="319"/>
      <c r="G15" s="319"/>
      <c r="H15" s="319"/>
    </row>
    <row r="16" spans="2:13" ht="14.1" customHeight="1">
      <c r="B16" s="45"/>
      <c r="C16" s="45"/>
      <c r="D16" s="45"/>
      <c r="E16" s="45"/>
      <c r="F16" s="45"/>
      <c r="G16" s="45"/>
      <c r="H16" s="45"/>
    </row>
    <row r="17" spans="2:13" ht="14.1" customHeight="1">
      <c r="B17" s="41" t="str">
        <f>"Changes for FY "&amp;MASTER!$B$4&amp;" - "&amp;MASTER!$B$5&amp;":"</f>
        <v>Changes for FY 2021 - 2022:</v>
      </c>
      <c r="C17" s="45"/>
      <c r="D17" s="45"/>
      <c r="E17" s="45"/>
      <c r="F17" s="45"/>
      <c r="G17" s="45"/>
      <c r="H17" s="45"/>
    </row>
    <row r="18" spans="2:13" ht="14.1" customHeight="1">
      <c r="B18" s="319" t="s">
        <v>178</v>
      </c>
      <c r="C18" s="319"/>
      <c r="D18" s="319"/>
      <c r="E18" s="319"/>
      <c r="F18" s="319"/>
      <c r="G18" s="319"/>
      <c r="H18" s="319"/>
    </row>
    <row r="19" spans="2:13" ht="14.1" hidden="1" customHeight="1">
      <c r="B19" s="319"/>
      <c r="C19" s="319"/>
      <c r="D19" s="319"/>
      <c r="E19" s="319"/>
      <c r="F19" s="319"/>
      <c r="G19" s="319"/>
      <c r="H19" s="319"/>
    </row>
    <row r="20" spans="2:13" ht="14.1" customHeight="1">
      <c r="B20" s="310"/>
      <c r="C20" s="310"/>
      <c r="D20" s="310"/>
      <c r="E20" s="310"/>
      <c r="F20" s="310"/>
      <c r="G20" s="310"/>
      <c r="H20" s="310"/>
    </row>
    <row r="21" spans="2:13" s="5" customFormat="1" ht="14.1" customHeight="1">
      <c r="B21" s="36" t="s">
        <v>7</v>
      </c>
      <c r="C21" s="37"/>
      <c r="D21" s="37"/>
      <c r="E21" s="37"/>
      <c r="F21" s="37"/>
      <c r="G21" s="37"/>
      <c r="H21" s="38"/>
    </row>
    <row r="22" spans="2:13" s="5" customFormat="1" ht="14.1" customHeight="1">
      <c r="B22" s="40"/>
      <c r="C22" s="41"/>
      <c r="D22" s="40"/>
      <c r="E22" s="40"/>
      <c r="F22" s="40"/>
      <c r="G22" s="40"/>
      <c r="H22" s="40"/>
    </row>
    <row r="23" spans="2:13" s="5" customFormat="1" ht="14.1" customHeight="1">
      <c r="B23" s="67" t="str">
        <f>$D$5</f>
        <v>Group Insurance</v>
      </c>
      <c r="C23" s="67"/>
      <c r="D23" s="68"/>
      <c r="E23" s="68"/>
      <c r="F23" s="68" t="s">
        <v>10</v>
      </c>
      <c r="G23" s="69" t="s">
        <v>31</v>
      </c>
      <c r="H23" s="40"/>
      <c r="J23" s="73" t="s">
        <v>32</v>
      </c>
      <c r="K23" s="73" t="s">
        <v>33</v>
      </c>
      <c r="L23" s="73" t="s">
        <v>34</v>
      </c>
      <c r="M23" s="73" t="s">
        <v>35</v>
      </c>
    </row>
    <row r="24" spans="2:13" s="5" customFormat="1" ht="14.1" customHeight="1">
      <c r="B24" s="64" t="s">
        <v>179</v>
      </c>
      <c r="C24" s="57"/>
      <c r="D24" s="80"/>
      <c r="E24" s="66"/>
      <c r="F24" s="66">
        <v>140000</v>
      </c>
      <c r="G24" s="71" t="s">
        <v>152</v>
      </c>
      <c r="H24" s="40"/>
      <c r="J24" s="74">
        <f>INDEX(MASTER!$C$25:$F$42,MATCH($G24,allocation,0),MATCH(J$23,MASTER!$C$24:$F$24,0))</f>
        <v>0.39</v>
      </c>
      <c r="K24" s="74">
        <f>INDEX(MASTER!$C$25:$F$42,MATCH($G24,allocation,0),MATCH(K$23,MASTER!$C$24:$F$24,0))</f>
        <v>0.4</v>
      </c>
      <c r="L24" s="74">
        <f>INDEX(MASTER!$C$25:$F$42,MATCH($G24,allocation,0),MATCH(L$23,MASTER!$C$24:$F$24,0))</f>
        <v>0.19</v>
      </c>
      <c r="M24" s="74">
        <f>INDEX(MASTER!$C$25:$F$42,MATCH($G24,allocation,0),MATCH(M$23,MASTER!$C$24:$F$24,0))</f>
        <v>0.02</v>
      </c>
    </row>
    <row r="25" spans="2:13" s="5" customFormat="1" ht="14.1" customHeight="1" thickBot="1">
      <c r="B25" s="49" t="s">
        <v>10</v>
      </c>
      <c r="C25" s="49"/>
      <c r="D25" s="49"/>
      <c r="E25" s="49"/>
      <c r="F25" s="50">
        <f>SUM(F24:F24)</f>
        <v>140000</v>
      </c>
      <c r="G25" s="49"/>
      <c r="H25" s="40"/>
    </row>
    <row r="26" spans="2:13" s="5" customFormat="1" ht="14.1" customHeight="1">
      <c r="B26" s="40"/>
      <c r="C26" s="41"/>
      <c r="G26" s="40"/>
      <c r="H26" s="258"/>
    </row>
    <row r="27" spans="2:13" s="5" customFormat="1" ht="14.1" customHeight="1">
      <c r="B27" s="41" t="s">
        <v>11</v>
      </c>
      <c r="C27" s="35">
        <f>ROUNDUP($F$25,-$B$28)</f>
        <v>140000</v>
      </c>
      <c r="F27" s="40"/>
      <c r="G27" s="40"/>
      <c r="H27" s="40"/>
    </row>
    <row r="28" spans="2:13" s="5" customFormat="1" ht="14.1" customHeight="1">
      <c r="B28" s="51">
        <v>3</v>
      </c>
      <c r="C28" s="41"/>
      <c r="D28" s="40"/>
      <c r="E28" s="40"/>
      <c r="F28" s="40"/>
      <c r="G28" s="40"/>
      <c r="H28" s="40"/>
    </row>
    <row r="29" spans="2:13" s="5" customFormat="1" ht="14.1" customHeight="1">
      <c r="B29" s="40"/>
      <c r="C29" s="41"/>
      <c r="D29" s="40"/>
      <c r="E29" s="40"/>
      <c r="F29" s="40"/>
      <c r="G29" s="40"/>
      <c r="H29" s="40"/>
    </row>
    <row r="30" spans="2:13" s="5" customFormat="1" ht="14.1" customHeight="1">
      <c r="B30" s="40"/>
      <c r="C30" s="41"/>
      <c r="D30" s="40"/>
      <c r="E30" s="53" t="s">
        <v>12</v>
      </c>
      <c r="F30" s="54" t="s">
        <v>13</v>
      </c>
      <c r="G30" s="54" t="s">
        <v>14</v>
      </c>
      <c r="H30" s="55" t="s">
        <v>15</v>
      </c>
    </row>
    <row r="31" spans="2:13" s="5" customFormat="1" ht="14.1" customHeight="1">
      <c r="B31" s="36"/>
      <c r="C31" s="36"/>
      <c r="D31" s="36"/>
      <c r="E31" s="53" t="str">
        <f>"FY "&amp;MASTER!$B$4-1&amp;" - "&amp;MASTER!$B$4</f>
        <v>FY 2020 - 2021</v>
      </c>
      <c r="F31" s="56">
        <f>MASTER!$B$6</f>
        <v>44255</v>
      </c>
      <c r="G31" s="54" t="str">
        <f>"June "&amp;MASTER!$B$4</f>
        <v>June 2021</v>
      </c>
      <c r="H31" s="55" t="str">
        <f>"FY "&amp;MASTER!$B$4&amp;" - "&amp;MASTER!$B$5</f>
        <v>FY 2021 - 2022</v>
      </c>
    </row>
    <row r="32" spans="2:13" s="5" customFormat="1" ht="14.1" customHeight="1">
      <c r="B32" s="57"/>
      <c r="C32" s="57"/>
      <c r="D32" s="58"/>
      <c r="E32" s="59"/>
      <c r="F32" s="60"/>
      <c r="G32" s="60"/>
      <c r="H32" s="58"/>
    </row>
    <row r="33" spans="2:253" s="5" customFormat="1" ht="14.1" customHeight="1">
      <c r="B33" s="40" t="str">
        <f>$D$5</f>
        <v>Group Insurance</v>
      </c>
      <c r="C33" s="41"/>
      <c r="D33" s="58"/>
      <c r="E33" s="61">
        <v>128000</v>
      </c>
      <c r="F33" s="62">
        <v>76527</v>
      </c>
      <c r="G33" s="62">
        <v>110000</v>
      </c>
      <c r="H33" s="63">
        <f>$C$27</f>
        <v>140000</v>
      </c>
    </row>
    <row r="34" spans="2:253" s="5" customFormat="1" ht="14.1" customHeight="1">
      <c r="B34" s="40"/>
      <c r="C34" s="41"/>
      <c r="D34" s="58"/>
      <c r="E34" s="59"/>
      <c r="F34" s="59"/>
      <c r="G34" s="58"/>
      <c r="H34" s="82"/>
    </row>
    <row r="35" spans="2:253" s="5" customFormat="1" ht="14.1" customHeight="1">
      <c r="B35" s="40"/>
      <c r="C35" s="41"/>
      <c r="D35" s="58"/>
      <c r="E35" s="58"/>
      <c r="F35" s="58"/>
      <c r="G35" s="58"/>
      <c r="H35" s="63"/>
    </row>
    <row r="36" spans="2:253" s="5" customFormat="1" ht="14.1" customHeight="1">
      <c r="B36" s="2"/>
      <c r="C36" s="1"/>
    </row>
    <row r="37" spans="2:253" s="5" customFormat="1" ht="14.1" customHeight="1">
      <c r="B37" s="36" t="s">
        <v>39</v>
      </c>
      <c r="C37" s="36"/>
      <c r="D37" s="55" t="s">
        <v>40</v>
      </c>
      <c r="E37" s="55" t="s">
        <v>41</v>
      </c>
    </row>
    <row r="38" spans="2:253" s="5" customFormat="1" ht="14.1" customHeight="1">
      <c r="B38" s="75" t="s">
        <v>32</v>
      </c>
      <c r="C38" s="84">
        <f>E38/E42</f>
        <v>0.39</v>
      </c>
      <c r="D38" s="78">
        <f>SUMPRODUCT($F$24:$F$24,$J$24:$J$24)</f>
        <v>54600</v>
      </c>
      <c r="E38" s="78">
        <f>$D38+($C$27-SUM($D$38:$D$41))*($D38/$D$42)</f>
        <v>54600</v>
      </c>
    </row>
    <row r="39" spans="2:253" s="5" customFormat="1" ht="14.1" customHeight="1">
      <c r="B39" s="75" t="s">
        <v>33</v>
      </c>
      <c r="C39" s="84">
        <f>E39/E42</f>
        <v>0.4</v>
      </c>
      <c r="D39" s="78">
        <f>SUMPRODUCT($F$24:$F$24,$K$24:$K$24)</f>
        <v>56000</v>
      </c>
      <c r="E39" s="78">
        <f>$D39+($C$27-SUM($D$38:$D$41))*($D39/$D$42)</f>
        <v>56000</v>
      </c>
    </row>
    <row r="40" spans="2:253" s="5" customFormat="1" ht="14.1" customHeight="1">
      <c r="B40" s="75" t="s">
        <v>34</v>
      </c>
      <c r="C40" s="84">
        <f>E40/E42</f>
        <v>0.19</v>
      </c>
      <c r="D40" s="78">
        <f>SUMPRODUCT($F$24:$F$24,$L$24:$L$24)</f>
        <v>26600</v>
      </c>
      <c r="E40" s="78">
        <f>$D40+($C$27-SUM($D$38:$D$41))*($D40/$D$42)</f>
        <v>26600</v>
      </c>
    </row>
    <row r="41" spans="2:253" s="5" customFormat="1" ht="14.1" customHeight="1">
      <c r="B41" s="75" t="s">
        <v>35</v>
      </c>
      <c r="C41" s="84">
        <f>E41/E42</f>
        <v>0.02</v>
      </c>
      <c r="D41" s="78">
        <f>SUMPRODUCT($F$24:$F$24,$M$24:$M$24)</f>
        <v>2800</v>
      </c>
      <c r="E41" s="78">
        <f>$D41+($C$27-SUM($D$38:$D$41))*($D41/$D$42)</f>
        <v>2800</v>
      </c>
    </row>
    <row r="42" spans="2:253" s="5" customFormat="1" ht="12.75" customHeight="1">
      <c r="B42" s="77" t="s">
        <v>10</v>
      </c>
      <c r="C42" s="85">
        <f>SUM(C38:C41)</f>
        <v>1</v>
      </c>
      <c r="D42" s="79">
        <f>SUM(D38:D41)</f>
        <v>140000</v>
      </c>
      <c r="E42" s="79">
        <f>SUM(E38:E41)</f>
        <v>140000</v>
      </c>
    </row>
    <row r="43" spans="2:253" s="5" customFormat="1" ht="12.75" customHeight="1">
      <c r="B43" s="2"/>
      <c r="C43" s="2"/>
      <c r="D43" s="2"/>
      <c r="E43" s="76"/>
    </row>
    <row r="44" spans="2:253" s="5" customFormat="1" ht="12.75" customHeight="1">
      <c r="E44" s="20"/>
      <c r="F44" s="6"/>
    </row>
    <row r="45" spans="2:253" s="5" customFormat="1" ht="12.75" customHeight="1">
      <c r="E45" s="20"/>
    </row>
    <row r="46" spans="2:253" s="5" customFormat="1" ht="12.75" customHeight="1">
      <c r="D46" s="21"/>
      <c r="E46" s="20"/>
    </row>
    <row r="47" spans="2:253" s="5" customFormat="1" ht="12.75" customHeight="1">
      <c r="D47" s="21"/>
      <c r="E47" s="20"/>
    </row>
    <row r="48" spans="2:253" s="5" customFormat="1" ht="12.75" customHeight="1">
      <c r="E48" s="20"/>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row>
    <row r="49" spans="4:5" s="5" customFormat="1" ht="12.75" customHeight="1">
      <c r="D49" s="21"/>
      <c r="E49" s="20"/>
    </row>
    <row r="50" spans="4:5" s="5" customFormat="1" ht="12.75" customHeight="1">
      <c r="E50" s="20"/>
    </row>
    <row r="51" spans="4:5" ht="12.75" customHeight="1">
      <c r="E51" s="20"/>
    </row>
    <row r="52" spans="4:5" ht="12.75" customHeight="1">
      <c r="E52" s="4"/>
    </row>
    <row r="53" spans="4:5">
      <c r="E53" s="3"/>
    </row>
    <row r="65" spans="4:5">
      <c r="D65" s="3"/>
      <c r="E65" s="3"/>
    </row>
  </sheetData>
  <mergeCells count="4">
    <mergeCell ref="E4:F4"/>
    <mergeCell ref="D5:G5"/>
    <mergeCell ref="B13:H15"/>
    <mergeCell ref="B18:H19"/>
  </mergeCells>
  <dataValidations count="2">
    <dataValidation type="list" allowBlank="1" showInputMessage="1" showErrorMessage="1" sqref="E4" xr:uid="{00000000-0002-0000-2000-000000000000}">
      <formula1>enterprise</formula1>
    </dataValidation>
    <dataValidation type="list" allowBlank="1" showInputMessage="1" showErrorMessage="1" sqref="G24" xr:uid="{00000000-0002-0000-2000-000001000000}">
      <formula1>allocation</formula1>
    </dataValidation>
  </dataValidations>
  <pageMargins left="0.7" right="0.7" top="0.75" bottom="0.75" header="0.3" footer="0.3"/>
  <pageSetup scale="94"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pageSetUpPr fitToPage="1"/>
  </sheetPr>
  <dimension ref="B2:IS65"/>
  <sheetViews>
    <sheetView topLeftCell="A3" workbookViewId="0">
      <selection activeCell="F24" sqref="F24"/>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E33</f>
        <v>74000</v>
      </c>
      <c r="K2" s="120">
        <f t="shared" ref="K2:M2" si="0">F33</f>
        <v>64650</v>
      </c>
      <c r="L2" s="120">
        <f t="shared" si="0"/>
        <v>88400</v>
      </c>
      <c r="M2" s="120">
        <f t="shared" si="0"/>
        <v>95400</v>
      </c>
    </row>
    <row r="3" spans="2:13" ht="14.1" customHeight="1">
      <c r="B3" s="40"/>
      <c r="C3" s="40"/>
      <c r="D3" s="40"/>
      <c r="E3" s="40"/>
      <c r="F3" s="40"/>
      <c r="G3" s="40"/>
      <c r="H3" s="40"/>
      <c r="J3" s="121">
        <f>C38</f>
        <v>0.39</v>
      </c>
      <c r="K3" s="121"/>
      <c r="L3" s="121"/>
      <c r="M3" s="121"/>
    </row>
    <row r="4" spans="2:13" ht="23.25" customHeight="1">
      <c r="B4" s="40"/>
      <c r="C4" s="40"/>
      <c r="D4" s="40"/>
      <c r="E4" s="316" t="s">
        <v>118</v>
      </c>
      <c r="F4" s="316"/>
      <c r="G4" s="41"/>
      <c r="H4" s="40"/>
      <c r="J4" s="121">
        <f t="shared" ref="J4:J6" si="1">C39</f>
        <v>0.4</v>
      </c>
    </row>
    <row r="5" spans="2:13" ht="14.1" customHeight="1">
      <c r="B5" s="42"/>
      <c r="C5" s="42"/>
      <c r="D5" s="312" t="str">
        <f>'Operating Budget'!B56</f>
        <v>Retirement Benefits</v>
      </c>
      <c r="E5" s="312"/>
      <c r="F5" s="312"/>
      <c r="G5" s="312"/>
      <c r="H5" s="43"/>
      <c r="J5" s="121">
        <f t="shared" si="1"/>
        <v>0.19</v>
      </c>
    </row>
    <row r="6" spans="2:13" ht="19.5" customHeight="1">
      <c r="B6" s="40"/>
      <c r="C6" s="40"/>
      <c r="D6" s="40"/>
      <c r="E6" s="40"/>
      <c r="H6" s="40"/>
      <c r="J6" s="121">
        <f t="shared" si="1"/>
        <v>0.02</v>
      </c>
    </row>
    <row r="7" spans="2:13" ht="14.1" hidden="1" customHeight="1">
      <c r="B7" s="40"/>
      <c r="C7" s="40"/>
      <c r="D7" s="40"/>
      <c r="E7" s="40"/>
      <c r="F7" s="44"/>
      <c r="G7" s="44"/>
      <c r="H7" s="40"/>
    </row>
    <row r="8" spans="2:13" ht="14.1" customHeight="1">
      <c r="B8" s="41" t="s">
        <v>2</v>
      </c>
      <c r="C8" s="40">
        <f>'Operating Budget'!C56</f>
        <v>4550</v>
      </c>
      <c r="D8" s="40"/>
      <c r="E8" s="40"/>
      <c r="F8" s="40"/>
      <c r="G8" s="202"/>
      <c r="H8" s="40"/>
    </row>
    <row r="9" spans="2:13" ht="14.1" customHeight="1">
      <c r="B9" s="41" t="s">
        <v>3</v>
      </c>
      <c r="C9" s="40">
        <f>INDEX('Operating Budget'!$A$11:$A$107,MATCH('27'!C8,'Operating Budget'!C11:C107))</f>
        <v>27</v>
      </c>
      <c r="D9" s="40"/>
      <c r="E9" s="40"/>
      <c r="F9" s="40"/>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180</v>
      </c>
      <c r="C13" s="319"/>
      <c r="D13" s="319"/>
      <c r="E13" s="319"/>
      <c r="F13" s="319"/>
      <c r="G13" s="319"/>
      <c r="H13" s="319"/>
    </row>
    <row r="14" spans="2:13" ht="14.1" customHeight="1">
      <c r="B14" s="319"/>
      <c r="C14" s="319"/>
      <c r="D14" s="319"/>
      <c r="E14" s="319"/>
      <c r="F14" s="319"/>
      <c r="G14" s="319"/>
      <c r="H14" s="319"/>
    </row>
    <row r="15" spans="2:13" ht="14.1" customHeight="1">
      <c r="B15" s="319"/>
      <c r="C15" s="319"/>
      <c r="D15" s="319"/>
      <c r="E15" s="319"/>
      <c r="F15" s="319"/>
      <c r="G15" s="319"/>
      <c r="H15" s="319"/>
    </row>
    <row r="16" spans="2:13" ht="14.1" customHeight="1">
      <c r="B16" s="45"/>
      <c r="C16" s="45"/>
      <c r="D16" s="45"/>
      <c r="E16" s="45"/>
      <c r="F16" s="45"/>
      <c r="G16" s="45"/>
      <c r="H16" s="45"/>
    </row>
    <row r="17" spans="2:13" ht="14.1" customHeight="1">
      <c r="B17" s="41" t="str">
        <f>"Changes for FY "&amp;MASTER!$B$4&amp;" - "&amp;MASTER!$B$5&amp;":"</f>
        <v>Changes for FY 2021 - 2022:</v>
      </c>
      <c r="C17" s="45"/>
      <c r="D17" s="45"/>
      <c r="E17" s="45"/>
      <c r="F17" s="45"/>
      <c r="G17" s="45"/>
      <c r="H17" s="45"/>
    </row>
    <row r="18" spans="2:13" ht="14.1" customHeight="1">
      <c r="B18" s="319"/>
      <c r="C18" s="319"/>
      <c r="D18" s="319"/>
      <c r="E18" s="319"/>
      <c r="F18" s="319"/>
      <c r="G18" s="319"/>
      <c r="H18" s="319"/>
    </row>
    <row r="19" spans="2:13" ht="14.1" customHeight="1">
      <c r="B19" s="310"/>
      <c r="C19" s="310"/>
      <c r="D19" s="310"/>
      <c r="E19" s="310"/>
      <c r="F19" s="310"/>
      <c r="G19" s="310"/>
      <c r="H19" s="310"/>
    </row>
    <row r="20" spans="2:13" s="5" customFormat="1" ht="14.1" customHeight="1">
      <c r="B20" s="36" t="s">
        <v>7</v>
      </c>
      <c r="C20" s="37"/>
      <c r="D20" s="37"/>
      <c r="E20" s="37"/>
      <c r="F20" s="37"/>
      <c r="G20" s="37"/>
      <c r="H20" s="38"/>
    </row>
    <row r="21" spans="2:13" s="5" customFormat="1" ht="14.1" customHeight="1">
      <c r="B21" s="40"/>
      <c r="C21" s="41"/>
      <c r="D21" s="40"/>
      <c r="E21" s="40"/>
      <c r="F21" s="40"/>
      <c r="G21" s="40"/>
      <c r="H21" s="40"/>
    </row>
    <row r="22" spans="2:13" s="5" customFormat="1" ht="14.1" customHeight="1">
      <c r="B22" s="67" t="str">
        <f>$D$5</f>
        <v>Retirement Benefits</v>
      </c>
      <c r="C22" s="67"/>
      <c r="D22" s="68"/>
      <c r="E22" s="68"/>
      <c r="F22" s="68" t="s">
        <v>10</v>
      </c>
      <c r="G22" s="69" t="s">
        <v>31</v>
      </c>
      <c r="H22" s="40"/>
      <c r="J22" s="73" t="s">
        <v>32</v>
      </c>
      <c r="K22" s="73" t="s">
        <v>33</v>
      </c>
      <c r="L22" s="73" t="s">
        <v>34</v>
      </c>
      <c r="M22" s="73" t="s">
        <v>35</v>
      </c>
    </row>
    <row r="23" spans="2:13" s="5" customFormat="1" ht="14.1" customHeight="1">
      <c r="B23" s="64" t="s">
        <v>181</v>
      </c>
      <c r="C23" s="57"/>
      <c r="D23" s="80"/>
      <c r="E23" s="80"/>
      <c r="F23" s="198">
        <v>30000</v>
      </c>
      <c r="G23" s="71" t="s">
        <v>152</v>
      </c>
      <c r="H23" s="40"/>
      <c r="J23" s="74">
        <f>INDEX(MASTER!$C$25:$F$42,MATCH($G23,allocation,0),MATCH(J$22,MASTER!$C$24:$F$24,0))</f>
        <v>0.39</v>
      </c>
      <c r="K23" s="74">
        <f>INDEX(MASTER!$C$25:$F$42,MATCH($G23,allocation,0),MATCH(K$22,MASTER!$C$24:$F$24,0))</f>
        <v>0.4</v>
      </c>
      <c r="L23" s="74">
        <f>INDEX(MASTER!$C$25:$F$42,MATCH($G23,allocation,0),MATCH(L$22,MASTER!$C$24:$F$24,0))</f>
        <v>0.19</v>
      </c>
      <c r="M23" s="74">
        <f>INDEX(MASTER!$C$25:$F$42,MATCH($G23,allocation,0),MATCH(M$22,MASTER!$C$24:$F$24,0))</f>
        <v>0.02</v>
      </c>
    </row>
    <row r="24" spans="2:13" s="5" customFormat="1" ht="14.1" customHeight="1">
      <c r="B24" s="64" t="s">
        <v>182</v>
      </c>
      <c r="C24" s="57"/>
      <c r="D24" s="80"/>
      <c r="E24" s="66"/>
      <c r="F24" s="66">
        <v>65400</v>
      </c>
      <c r="G24" s="200" t="s">
        <v>152</v>
      </c>
      <c r="H24" s="40"/>
      <c r="J24" s="74">
        <f>INDEX(MASTER!$C$25:$F$42,MATCH($G24,allocation,0),MATCH(J$22,MASTER!$C$24:$F$24,0))</f>
        <v>0.39</v>
      </c>
      <c r="K24" s="74">
        <f>INDEX(MASTER!$C$25:$F$42,MATCH($G24,allocation,0),MATCH(K$22,MASTER!$C$24:$F$24,0))</f>
        <v>0.4</v>
      </c>
      <c r="L24" s="74">
        <f>INDEX(MASTER!$C$25:$F$42,MATCH($G24,allocation,0),MATCH(L$22,MASTER!$C$24:$F$24,0))</f>
        <v>0.19</v>
      </c>
      <c r="M24" s="74">
        <f>INDEX(MASTER!$C$25:$F$42,MATCH($G24,allocation,0),MATCH(M$22,MASTER!$C$24:$F$24,0))</f>
        <v>0.02</v>
      </c>
    </row>
    <row r="25" spans="2:13" s="5" customFormat="1" ht="14.1" customHeight="1" thickBot="1">
      <c r="B25" s="49" t="s">
        <v>10</v>
      </c>
      <c r="C25" s="49"/>
      <c r="D25" s="49"/>
      <c r="E25" s="49"/>
      <c r="F25" s="50">
        <f>SUM(F23:F24)</f>
        <v>95400</v>
      </c>
      <c r="G25" s="199"/>
      <c r="H25" s="40"/>
    </row>
    <row r="26" spans="2:13" s="5" customFormat="1" ht="14.1" customHeight="1" thickTop="1">
      <c r="B26" s="40"/>
      <c r="C26" s="41"/>
      <c r="G26" s="40"/>
      <c r="H26" s="40"/>
    </row>
    <row r="27" spans="2:13" s="5" customFormat="1" ht="14.1" customHeight="1">
      <c r="B27" s="41" t="s">
        <v>11</v>
      </c>
      <c r="C27" s="35">
        <f>ROUNDUP($F$25,-$B$28)</f>
        <v>95400</v>
      </c>
      <c r="F27" s="40"/>
      <c r="G27" s="40"/>
      <c r="H27" s="40"/>
    </row>
    <row r="28" spans="2:13" s="5" customFormat="1" ht="14.1" customHeight="1">
      <c r="B28" s="51">
        <v>2</v>
      </c>
      <c r="C28" s="41"/>
      <c r="D28" s="40"/>
      <c r="E28" s="40"/>
      <c r="F28" s="40"/>
      <c r="G28" s="40"/>
      <c r="H28" s="40"/>
    </row>
    <row r="29" spans="2:13" s="5" customFormat="1" ht="14.1" customHeight="1">
      <c r="B29" s="40"/>
      <c r="C29" s="41"/>
      <c r="D29" s="40"/>
      <c r="E29" s="40"/>
      <c r="F29" s="40"/>
      <c r="G29" s="40"/>
      <c r="H29" s="40"/>
    </row>
    <row r="30" spans="2:13" s="5" customFormat="1" ht="14.1" customHeight="1">
      <c r="B30" s="40"/>
      <c r="C30" s="41"/>
      <c r="D30" s="40"/>
      <c r="E30" s="53" t="s">
        <v>12</v>
      </c>
      <c r="F30" s="54" t="s">
        <v>13</v>
      </c>
      <c r="G30" s="54" t="s">
        <v>14</v>
      </c>
      <c r="H30" s="55" t="s">
        <v>15</v>
      </c>
    </row>
    <row r="31" spans="2:13" s="5" customFormat="1" ht="14.1" customHeight="1">
      <c r="B31" s="36"/>
      <c r="C31" s="36"/>
      <c r="D31" s="36"/>
      <c r="E31" s="53" t="str">
        <f>"FY "&amp;MASTER!$B$4-1&amp;" - "&amp;MASTER!$B$4</f>
        <v>FY 2020 - 2021</v>
      </c>
      <c r="F31" s="56">
        <f>MASTER!$B$6</f>
        <v>44255</v>
      </c>
      <c r="G31" s="54" t="str">
        <f>"June "&amp;MASTER!$B$4</f>
        <v>June 2021</v>
      </c>
      <c r="H31" s="55" t="str">
        <f>"FY "&amp;MASTER!$B$4&amp;" - "&amp;MASTER!$B$5</f>
        <v>FY 2021 - 2022</v>
      </c>
    </row>
    <row r="32" spans="2:13" s="5" customFormat="1" ht="14.1" customHeight="1">
      <c r="B32" s="57"/>
      <c r="C32" s="57"/>
      <c r="D32" s="58"/>
      <c r="E32" s="59"/>
      <c r="F32" s="60"/>
      <c r="G32" s="60"/>
      <c r="H32" s="58"/>
    </row>
    <row r="33" spans="2:253" s="5" customFormat="1" ht="14.1" customHeight="1">
      <c r="B33" s="40" t="str">
        <f>$D$5</f>
        <v>Retirement Benefits</v>
      </c>
      <c r="C33" s="41"/>
      <c r="D33" s="58"/>
      <c r="E33" s="61">
        <v>74000</v>
      </c>
      <c r="F33" s="62">
        <v>64650</v>
      </c>
      <c r="G33" s="62">
        <v>88400</v>
      </c>
      <c r="H33" s="63">
        <f>$C$27</f>
        <v>95400</v>
      </c>
    </row>
    <row r="34" spans="2:253" s="5" customFormat="1" ht="14.1" customHeight="1">
      <c r="B34" s="40"/>
      <c r="C34" s="41"/>
      <c r="D34" s="58"/>
      <c r="E34" s="59"/>
      <c r="F34" s="59"/>
      <c r="G34" s="58"/>
      <c r="H34" s="82"/>
    </row>
    <row r="35" spans="2:253" s="5" customFormat="1" ht="14.1" customHeight="1">
      <c r="B35" s="40"/>
      <c r="C35" s="41"/>
      <c r="D35" s="58"/>
      <c r="E35" s="58"/>
      <c r="F35" s="58"/>
      <c r="G35" s="58"/>
      <c r="H35" s="63"/>
    </row>
    <row r="36" spans="2:253" s="5" customFormat="1" ht="14.1" customHeight="1">
      <c r="B36" s="2"/>
      <c r="C36" s="1"/>
    </row>
    <row r="37" spans="2:253" s="5" customFormat="1" ht="14.1" customHeight="1">
      <c r="B37" s="36" t="s">
        <v>39</v>
      </c>
      <c r="C37" s="36"/>
      <c r="D37" s="55" t="s">
        <v>40</v>
      </c>
      <c r="E37" s="55" t="s">
        <v>41</v>
      </c>
    </row>
    <row r="38" spans="2:253" s="5" customFormat="1" ht="14.1" customHeight="1">
      <c r="B38" s="75" t="s">
        <v>32</v>
      </c>
      <c r="C38" s="84">
        <f>E38/E42</f>
        <v>0.39</v>
      </c>
      <c r="D38" s="78">
        <f>SUMPRODUCT($F$23:$F$24,$J$23:$J$24)</f>
        <v>37206</v>
      </c>
      <c r="E38" s="78">
        <f>$D38+($C$27-SUM($D$38:$D$41))*($D38/$D$42)</f>
        <v>37206</v>
      </c>
    </row>
    <row r="39" spans="2:253" s="5" customFormat="1" ht="14.1" customHeight="1">
      <c r="B39" s="75" t="s">
        <v>33</v>
      </c>
      <c r="C39" s="84">
        <f>E39/E42</f>
        <v>0.4</v>
      </c>
      <c r="D39" s="78">
        <f>SUMPRODUCT($F$23:$F$24,$K$23:$K$24)</f>
        <v>38160</v>
      </c>
      <c r="E39" s="78">
        <f>$D39+($C$27-SUM($D$38:$D$41))*($D39/$D$42)</f>
        <v>38160</v>
      </c>
    </row>
    <row r="40" spans="2:253" s="5" customFormat="1" ht="14.1" customHeight="1">
      <c r="B40" s="75" t="s">
        <v>34</v>
      </c>
      <c r="C40" s="84">
        <f>E40/E42</f>
        <v>0.19</v>
      </c>
      <c r="D40" s="78">
        <f>SUMPRODUCT($F$23:$F$24,$L$23:$L$24)</f>
        <v>18126</v>
      </c>
      <c r="E40" s="78">
        <f>$D40+($C$27-SUM($D$38:$D$41))*($D40/$D$42)</f>
        <v>18126</v>
      </c>
    </row>
    <row r="41" spans="2:253" s="5" customFormat="1" ht="14.1" customHeight="1">
      <c r="B41" s="75" t="s">
        <v>35</v>
      </c>
      <c r="C41" s="84">
        <f>E41/E42</f>
        <v>0.02</v>
      </c>
      <c r="D41" s="78">
        <f>SUMPRODUCT($F$23:$F$24,$M$23:$M$24)</f>
        <v>1908</v>
      </c>
      <c r="E41" s="78">
        <f>$D41+($C$27-SUM($D$38:$D$41))*($D41/$D$42)</f>
        <v>1908</v>
      </c>
    </row>
    <row r="42" spans="2:253" s="5" customFormat="1" ht="12.75" customHeight="1">
      <c r="B42" s="77" t="s">
        <v>10</v>
      </c>
      <c r="C42" s="85">
        <f>SUM(C38:C41)</f>
        <v>1</v>
      </c>
      <c r="D42" s="79">
        <f>SUM(D38:D41)</f>
        <v>95400</v>
      </c>
      <c r="E42" s="79">
        <f>SUM(E38:E41)</f>
        <v>95400</v>
      </c>
    </row>
    <row r="43" spans="2:253" s="5" customFormat="1" ht="12.75" customHeight="1">
      <c r="B43" s="2"/>
      <c r="C43" s="2"/>
      <c r="D43" s="2"/>
      <c r="E43" s="76"/>
    </row>
    <row r="44" spans="2:253" s="5" customFormat="1" ht="12.75" customHeight="1">
      <c r="E44" s="20"/>
      <c r="F44" s="6"/>
    </row>
    <row r="45" spans="2:253" s="5" customFormat="1" ht="12.75" customHeight="1">
      <c r="E45" s="20"/>
    </row>
    <row r="46" spans="2:253" s="5" customFormat="1" ht="12.75" customHeight="1">
      <c r="D46" s="21"/>
      <c r="E46" s="20"/>
    </row>
    <row r="47" spans="2:253" s="5" customFormat="1" ht="12.75" customHeight="1">
      <c r="D47" s="21"/>
      <c r="E47" s="20"/>
    </row>
    <row r="48" spans="2:253" s="5" customFormat="1" ht="12.75" customHeight="1">
      <c r="E48" s="20"/>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row>
    <row r="49" spans="4:5" s="5" customFormat="1" ht="12.75" customHeight="1">
      <c r="D49" s="21"/>
      <c r="E49" s="20"/>
    </row>
    <row r="50" spans="4:5" s="5" customFormat="1" ht="12.75" customHeight="1">
      <c r="E50" s="20"/>
    </row>
    <row r="51" spans="4:5" ht="12.75" customHeight="1">
      <c r="E51" s="20"/>
    </row>
    <row r="52" spans="4:5" ht="12.75" customHeight="1">
      <c r="E52" s="4"/>
    </row>
    <row r="53" spans="4:5">
      <c r="E53" s="3"/>
    </row>
    <row r="65" spans="4:5">
      <c r="D65" s="3"/>
      <c r="E65" s="3"/>
    </row>
  </sheetData>
  <mergeCells count="4">
    <mergeCell ref="E4:F4"/>
    <mergeCell ref="D5:G5"/>
    <mergeCell ref="B18:H18"/>
    <mergeCell ref="B13:H15"/>
  </mergeCells>
  <dataValidations count="2">
    <dataValidation type="list" allowBlank="1" showInputMessage="1" showErrorMessage="1" sqref="E4" xr:uid="{00000000-0002-0000-2100-000000000000}">
      <formula1>enterprise</formula1>
    </dataValidation>
    <dataValidation type="list" allowBlank="1" showInputMessage="1" showErrorMessage="1" sqref="G23:G24" xr:uid="{00000000-0002-0000-2100-000001000000}">
      <formula1>allocation</formula1>
    </dataValidation>
  </dataValidations>
  <pageMargins left="0.7" right="0.7" top="0.75" bottom="0.75" header="0.3" footer="0.3"/>
  <pageSetup scale="94"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pageSetUpPr fitToPage="1"/>
  </sheetPr>
  <dimension ref="B2:IS64"/>
  <sheetViews>
    <sheetView topLeftCell="A3" workbookViewId="0">
      <selection activeCell="F33" sqref="F33"/>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E32</f>
        <v>4500</v>
      </c>
      <c r="K2" s="120">
        <f t="shared" ref="K2:M2" si="0">F32</f>
        <v>2375</v>
      </c>
      <c r="L2" s="120">
        <f t="shared" si="0"/>
        <v>4500</v>
      </c>
      <c r="M2" s="120">
        <f t="shared" si="0"/>
        <v>5100</v>
      </c>
    </row>
    <row r="3" spans="2:13" ht="14.1" customHeight="1">
      <c r="B3" s="40"/>
      <c r="C3" s="40"/>
      <c r="D3" s="40"/>
      <c r="E3" s="40"/>
      <c r="F3" s="40"/>
      <c r="G3" s="40"/>
      <c r="H3" s="40"/>
      <c r="J3" s="121">
        <f>C37</f>
        <v>0.43</v>
      </c>
      <c r="K3" s="121"/>
      <c r="L3" s="121"/>
      <c r="M3" s="121"/>
    </row>
    <row r="4" spans="2:13" ht="23.25" customHeight="1">
      <c r="B4" s="40"/>
      <c r="C4" s="40"/>
      <c r="D4" s="40"/>
      <c r="E4" s="316" t="s">
        <v>118</v>
      </c>
      <c r="F4" s="316"/>
      <c r="G4" s="41"/>
      <c r="H4" s="40"/>
      <c r="J4" s="121">
        <f t="shared" ref="J4:J6" si="1">C38</f>
        <v>0.41</v>
      </c>
    </row>
    <row r="5" spans="2:13" ht="14.1" customHeight="1">
      <c r="B5" s="42"/>
      <c r="C5" s="42"/>
      <c r="D5" s="312" t="str">
        <f>'Operating Budget'!B57</f>
        <v>Uniforms</v>
      </c>
      <c r="E5" s="312"/>
      <c r="F5" s="312"/>
      <c r="G5" s="312"/>
      <c r="H5" s="43"/>
      <c r="J5" s="121">
        <f t="shared" si="1"/>
        <v>0.14000000000000001</v>
      </c>
    </row>
    <row r="6" spans="2:13" ht="19.5" customHeight="1">
      <c r="B6" s="40"/>
      <c r="C6" s="40"/>
      <c r="D6" s="40"/>
      <c r="E6" s="40"/>
      <c r="H6" s="40"/>
      <c r="J6" s="121">
        <f t="shared" si="1"/>
        <v>0.02</v>
      </c>
    </row>
    <row r="7" spans="2:13" ht="14.1" hidden="1" customHeight="1">
      <c r="B7" s="40"/>
      <c r="C7" s="40"/>
      <c r="D7" s="40"/>
      <c r="E7" s="40"/>
      <c r="F7" s="44"/>
      <c r="G7" s="44"/>
      <c r="H7" s="40"/>
    </row>
    <row r="8" spans="2:13" ht="14.1" customHeight="1">
      <c r="B8" s="41" t="s">
        <v>2</v>
      </c>
      <c r="C8" s="40">
        <f>'Operating Budget'!C57</f>
        <v>4575</v>
      </c>
      <c r="D8" s="40"/>
      <c r="E8" s="40"/>
      <c r="F8" s="40"/>
      <c r="G8" s="40"/>
      <c r="H8" s="202"/>
    </row>
    <row r="9" spans="2:13" ht="14.1" customHeight="1">
      <c r="B9" s="41" t="s">
        <v>3</v>
      </c>
      <c r="C9" s="40">
        <f>INDEX('Operating Budget'!$A$11:$A$107,MATCH('28'!C8,'Operating Budget'!C11:C107))</f>
        <v>28</v>
      </c>
      <c r="D9" s="40"/>
      <c r="E9" s="40"/>
      <c r="F9" s="40"/>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183</v>
      </c>
      <c r="C13" s="319"/>
      <c r="D13" s="319"/>
      <c r="E13" s="319"/>
      <c r="F13" s="319"/>
      <c r="G13" s="319"/>
      <c r="H13" s="319"/>
    </row>
    <row r="14" spans="2:13" ht="14.1" hidden="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t="s">
        <v>43</v>
      </c>
      <c r="C17" s="319"/>
      <c r="D17" s="319"/>
      <c r="E17" s="319"/>
      <c r="F17" s="319"/>
      <c r="G17" s="319"/>
      <c r="H17" s="319"/>
    </row>
    <row r="18" spans="2:13" ht="14.1" customHeight="1">
      <c r="B18" s="310"/>
      <c r="C18" s="310"/>
      <c r="D18" s="310"/>
      <c r="E18" s="310"/>
      <c r="F18" s="310"/>
      <c r="G18" s="310"/>
      <c r="H18" s="310"/>
    </row>
    <row r="19" spans="2:13" s="5" customFormat="1" ht="14.1" customHeight="1">
      <c r="B19" s="36" t="s">
        <v>7</v>
      </c>
      <c r="C19" s="37"/>
      <c r="D19" s="37"/>
      <c r="E19" s="37"/>
      <c r="F19" s="37"/>
      <c r="G19" s="37"/>
      <c r="H19" s="38"/>
    </row>
    <row r="20" spans="2:13" s="5" customFormat="1" ht="14.1" customHeight="1">
      <c r="B20" s="40"/>
      <c r="C20" s="41"/>
      <c r="D20" s="40"/>
      <c r="E20" s="40"/>
      <c r="F20" s="40"/>
      <c r="G20" s="40"/>
      <c r="H20" s="40"/>
    </row>
    <row r="21" spans="2:13" s="5" customFormat="1" ht="14.1" customHeight="1">
      <c r="B21" s="67" t="str">
        <f>$D$5</f>
        <v>Uniforms</v>
      </c>
      <c r="C21" s="67"/>
      <c r="D21" s="68"/>
      <c r="E21" s="68"/>
      <c r="F21" s="68" t="s">
        <v>10</v>
      </c>
      <c r="G21" s="69" t="s">
        <v>31</v>
      </c>
      <c r="H21" s="40"/>
      <c r="J21" s="73" t="s">
        <v>32</v>
      </c>
      <c r="K21" s="73" t="s">
        <v>33</v>
      </c>
      <c r="L21" s="73" t="s">
        <v>34</v>
      </c>
      <c r="M21" s="73" t="s">
        <v>35</v>
      </c>
    </row>
    <row r="22" spans="2:13" s="5" customFormat="1" ht="14.1" customHeight="1">
      <c r="B22" s="64" t="s">
        <v>184</v>
      </c>
      <c r="C22" s="57"/>
      <c r="D22" s="80"/>
      <c r="E22" s="66"/>
      <c r="F22" s="66">
        <v>3000</v>
      </c>
      <c r="G22" s="71" t="s">
        <v>122</v>
      </c>
      <c r="H22" s="40"/>
      <c r="J22" s="74">
        <f>INDEX(MASTER!$C$25:$F$42,MATCH($G22,allocation,0),MATCH(J$21,MASTER!$C$24:$F$24,0))</f>
        <v>0.43</v>
      </c>
      <c r="K22" s="74">
        <f>INDEX(MASTER!$C$25:$F$42,MATCH($G22,allocation,0),MATCH(K$21,MASTER!$C$24:$F$24,0))</f>
        <v>0.41</v>
      </c>
      <c r="L22" s="74">
        <f>INDEX(MASTER!$C$25:$F$42,MATCH($G22,allocation,0),MATCH(L$21,MASTER!$C$24:$F$24,0))</f>
        <v>0.14000000000000001</v>
      </c>
      <c r="M22" s="74">
        <f>INDEX(MASTER!$C$25:$F$42,MATCH($G22,allocation,0),MATCH(M$21,MASTER!$C$24:$F$24,0))</f>
        <v>0.02</v>
      </c>
    </row>
    <row r="23" spans="2:13" s="5" customFormat="1" ht="14.1" customHeight="1">
      <c r="B23" s="64" t="s">
        <v>185</v>
      </c>
      <c r="C23" s="57"/>
      <c r="D23" s="80"/>
      <c r="E23" s="66"/>
      <c r="F23" s="66">
        <v>2100</v>
      </c>
      <c r="G23" s="81" t="s">
        <v>122</v>
      </c>
      <c r="H23" s="40"/>
      <c r="J23" s="74">
        <f>INDEX(MASTER!$C$25:$F$42,MATCH($G23,allocation,0),MATCH(J$21,MASTER!$C$24:$F$24,0))</f>
        <v>0.43</v>
      </c>
      <c r="K23" s="74">
        <f>INDEX(MASTER!$C$25:$F$42,MATCH($G23,allocation,0),MATCH(K$21,MASTER!$C$24:$F$24,0))</f>
        <v>0.41</v>
      </c>
      <c r="L23" s="74">
        <f>INDEX(MASTER!$C$25:$F$42,MATCH($G23,allocation,0),MATCH(L$21,MASTER!$C$24:$F$24,0))</f>
        <v>0.14000000000000001</v>
      </c>
      <c r="M23" s="74">
        <f>INDEX(MASTER!$C$25:$F$42,MATCH($G23,allocation,0),MATCH(M$21,MASTER!$C$24:$F$24,0))</f>
        <v>0.02</v>
      </c>
    </row>
    <row r="24" spans="2:13" s="5" customFormat="1" ht="14.1" customHeight="1" thickBot="1">
      <c r="B24" s="49" t="s">
        <v>10</v>
      </c>
      <c r="C24" s="49"/>
      <c r="D24" s="49"/>
      <c r="E24" s="49"/>
      <c r="F24" s="50">
        <f>SUM(F22:F23)</f>
        <v>5100</v>
      </c>
      <c r="G24" s="49"/>
      <c r="H24" s="40"/>
    </row>
    <row r="25" spans="2:13" s="5" customFormat="1" ht="14.1" customHeight="1" thickTop="1">
      <c r="B25" s="40"/>
      <c r="C25" s="41"/>
      <c r="G25" s="40"/>
      <c r="H25" s="40"/>
    </row>
    <row r="26" spans="2:13" s="5" customFormat="1" ht="14.1" customHeight="1">
      <c r="B26" s="41" t="s">
        <v>11</v>
      </c>
      <c r="C26" s="35">
        <f>ROUNDUP($F$24,-$B$27)</f>
        <v>5100</v>
      </c>
      <c r="F26" s="40"/>
      <c r="G26" s="40"/>
      <c r="H26" s="40"/>
    </row>
    <row r="27" spans="2:13" s="5" customFormat="1" ht="14.1" customHeight="1">
      <c r="B27" s="51">
        <v>2</v>
      </c>
      <c r="C27" s="41"/>
      <c r="D27" s="40"/>
      <c r="E27" s="40"/>
      <c r="F27" s="40"/>
      <c r="G27" s="40"/>
      <c r="H27" s="40"/>
    </row>
    <row r="28" spans="2:13" s="5" customFormat="1" ht="14.1" customHeight="1">
      <c r="B28" s="40"/>
      <c r="C28" s="41"/>
      <c r="D28" s="40"/>
      <c r="E28" s="40"/>
      <c r="F28" s="40"/>
      <c r="G28" s="40"/>
      <c r="H28" s="40"/>
    </row>
    <row r="29" spans="2:13" s="5" customFormat="1" ht="14.1" customHeight="1">
      <c r="B29" s="40"/>
      <c r="C29" s="41"/>
      <c r="D29" s="40"/>
      <c r="E29" s="53" t="s">
        <v>12</v>
      </c>
      <c r="F29" s="54" t="s">
        <v>13</v>
      </c>
      <c r="G29" s="54" t="s">
        <v>14</v>
      </c>
      <c r="H29" s="55" t="s">
        <v>15</v>
      </c>
    </row>
    <row r="30" spans="2:13" s="5" customFormat="1" ht="14.1" customHeight="1">
      <c r="B30" s="36"/>
      <c r="C30" s="36"/>
      <c r="D30" s="36"/>
      <c r="E30" s="53" t="str">
        <f>"FY "&amp;MASTER!$B$4-1&amp;" - "&amp;MASTER!$B$4</f>
        <v>FY 2020 - 2021</v>
      </c>
      <c r="F30" s="56">
        <f>MASTER!$B$6</f>
        <v>44255</v>
      </c>
      <c r="G30" s="54" t="str">
        <f>"June "&amp;MASTER!$B$4</f>
        <v>June 2021</v>
      </c>
      <c r="H30" s="55" t="str">
        <f>"FY "&amp;MASTER!$B$4&amp;" - "&amp;MASTER!$B$5</f>
        <v>FY 2021 - 2022</v>
      </c>
    </row>
    <row r="31" spans="2:13" s="5" customFormat="1" ht="14.1" customHeight="1">
      <c r="B31" s="57"/>
      <c r="C31" s="57"/>
      <c r="D31" s="58"/>
      <c r="E31" s="59"/>
      <c r="F31" s="60"/>
      <c r="G31" s="60"/>
      <c r="H31" s="58"/>
    </row>
    <row r="32" spans="2:13" s="5" customFormat="1" ht="14.1" customHeight="1">
      <c r="B32" s="40" t="str">
        <f>$D$5</f>
        <v>Uniforms</v>
      </c>
      <c r="C32" s="41"/>
      <c r="D32" s="58"/>
      <c r="E32" s="61">
        <v>4500</v>
      </c>
      <c r="F32" s="62">
        <v>2375</v>
      </c>
      <c r="G32" s="62">
        <v>4500</v>
      </c>
      <c r="H32" s="63">
        <f>C26</f>
        <v>5100</v>
      </c>
    </row>
    <row r="33" spans="2:253" s="5" customFormat="1" ht="14.1" customHeight="1">
      <c r="B33" s="40"/>
      <c r="C33" s="41"/>
      <c r="D33" s="58"/>
      <c r="E33" s="59"/>
      <c r="F33" s="59"/>
      <c r="G33" s="58"/>
      <c r="H33" s="82"/>
    </row>
    <row r="34" spans="2:253" s="5" customFormat="1" ht="14.1" customHeight="1">
      <c r="B34" s="40"/>
      <c r="C34" s="41"/>
      <c r="D34" s="58"/>
      <c r="E34" s="58"/>
      <c r="F34" s="58"/>
      <c r="G34" s="58"/>
      <c r="H34" s="63"/>
    </row>
    <row r="35" spans="2:253" s="5" customFormat="1" ht="14.1" customHeight="1">
      <c r="B35" s="2"/>
      <c r="C35" s="1"/>
    </row>
    <row r="36" spans="2:253" s="5" customFormat="1" ht="14.1" customHeight="1">
      <c r="B36" s="36" t="s">
        <v>39</v>
      </c>
      <c r="C36" s="36"/>
      <c r="D36" s="55" t="s">
        <v>40</v>
      </c>
      <c r="E36" s="55" t="s">
        <v>41</v>
      </c>
    </row>
    <row r="37" spans="2:253" s="5" customFormat="1" ht="14.1" customHeight="1">
      <c r="B37" s="75" t="s">
        <v>32</v>
      </c>
      <c r="C37" s="84">
        <f>E37/E41</f>
        <v>0.43</v>
      </c>
      <c r="D37" s="78">
        <f>SUMPRODUCT($F$22:$F$23,$J$22:$J$23)</f>
        <v>2193</v>
      </c>
      <c r="E37" s="78">
        <f>$D37+($C$26-SUM($D$37:$D$40))*($D37/$D$41)</f>
        <v>2193</v>
      </c>
    </row>
    <row r="38" spans="2:253" s="5" customFormat="1" ht="14.1" customHeight="1">
      <c r="B38" s="75" t="s">
        <v>33</v>
      </c>
      <c r="C38" s="84">
        <f>E38/E41</f>
        <v>0.41</v>
      </c>
      <c r="D38" s="78">
        <f>SUMPRODUCT($F$22:$F$23,$K$22:$K$23)</f>
        <v>2091</v>
      </c>
      <c r="E38" s="78">
        <f>$D38+($C$26-SUM($D$37:$D$40))*($D38/$D$41)</f>
        <v>2091</v>
      </c>
    </row>
    <row r="39" spans="2:253" s="5" customFormat="1" ht="14.1" customHeight="1">
      <c r="B39" s="75" t="s">
        <v>34</v>
      </c>
      <c r="C39" s="84">
        <f>E39/E41</f>
        <v>0.14000000000000001</v>
      </c>
      <c r="D39" s="78">
        <f>SUMPRODUCT($F$22:$F$23,$L$22:$L$23)</f>
        <v>714</v>
      </c>
      <c r="E39" s="78">
        <f>$D39+($C$26-SUM($D$37:$D$40))*($D39/$D$41)</f>
        <v>714</v>
      </c>
    </row>
    <row r="40" spans="2:253" s="5" customFormat="1" ht="14.1" customHeight="1">
      <c r="B40" s="75" t="s">
        <v>35</v>
      </c>
      <c r="C40" s="84">
        <f>E40/E41</f>
        <v>0.02</v>
      </c>
      <c r="D40" s="78">
        <f>SUMPRODUCT($F$22:$F$23,$M$22:$M$23)</f>
        <v>102</v>
      </c>
      <c r="E40" s="78">
        <f>$D40+($C$26-SUM($D$37:$D$40))*($D40/$D$41)</f>
        <v>102</v>
      </c>
    </row>
    <row r="41" spans="2:253" s="5" customFormat="1" ht="12.75" customHeight="1">
      <c r="B41" s="77" t="s">
        <v>10</v>
      </c>
      <c r="C41" s="85">
        <f>SUM(C37:C40)</f>
        <v>1</v>
      </c>
      <c r="D41" s="79">
        <f>SUM(D37:D40)</f>
        <v>5100</v>
      </c>
      <c r="E41" s="79">
        <f>SUM(E37:E40)</f>
        <v>5100</v>
      </c>
    </row>
    <row r="42" spans="2:253" s="5" customFormat="1" ht="12.75" customHeight="1">
      <c r="B42" s="2"/>
      <c r="C42" s="2"/>
      <c r="D42" s="2"/>
      <c r="E42" s="76"/>
    </row>
    <row r="43" spans="2:253" s="5" customFormat="1" ht="12.75" customHeight="1">
      <c r="E43" s="20"/>
      <c r="F43" s="6"/>
    </row>
    <row r="44" spans="2:253" s="5" customFormat="1" ht="12.75" customHeight="1">
      <c r="E44" s="20"/>
    </row>
    <row r="45" spans="2:253" s="5" customFormat="1" ht="12.75" customHeight="1">
      <c r="D45" s="21"/>
      <c r="E45" s="20"/>
    </row>
    <row r="46" spans="2:253" s="5" customFormat="1" ht="12.75" customHeight="1">
      <c r="D46" s="21"/>
      <c r="E46" s="20"/>
    </row>
    <row r="47" spans="2:253" s="5" customFormat="1" ht="12.75" customHeight="1">
      <c r="E47" s="20"/>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row>
    <row r="48" spans="2:253" s="5" customFormat="1" ht="12.75" customHeight="1">
      <c r="D48" s="21"/>
      <c r="E48" s="20"/>
    </row>
    <row r="49" spans="4:5" s="5" customFormat="1" ht="12.75" customHeight="1">
      <c r="E49" s="20"/>
    </row>
    <row r="50" spans="4:5" ht="12.75" customHeight="1">
      <c r="E50" s="20"/>
    </row>
    <row r="51" spans="4:5" ht="12.75" customHeight="1">
      <c r="E51" s="4"/>
    </row>
    <row r="52" spans="4:5">
      <c r="E52" s="3"/>
    </row>
    <row r="64" spans="4:5">
      <c r="D64" s="3"/>
      <c r="E64" s="3"/>
    </row>
  </sheetData>
  <mergeCells count="4">
    <mergeCell ref="E4:F4"/>
    <mergeCell ref="D5:G5"/>
    <mergeCell ref="B13:H14"/>
    <mergeCell ref="B17:H17"/>
  </mergeCells>
  <dataValidations count="2">
    <dataValidation type="list" allowBlank="1" showInputMessage="1" showErrorMessage="1" sqref="G22:G23" xr:uid="{00000000-0002-0000-2200-000000000000}">
      <formula1>allocation</formula1>
    </dataValidation>
    <dataValidation type="list" allowBlank="1" showInputMessage="1" showErrorMessage="1" sqref="E4" xr:uid="{00000000-0002-0000-2200-000001000000}">
      <formula1>enterprise</formula1>
    </dataValidation>
  </dataValidations>
  <pageMargins left="0.7" right="0.7" top="0.75" bottom="0.75" header="0.3" footer="0.3"/>
  <pageSetup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B2:IS67"/>
  <sheetViews>
    <sheetView workbookViewId="0">
      <selection activeCell="F24" sqref="F24"/>
    </sheetView>
  </sheetViews>
  <sheetFormatPr defaultColWidth="8.85546875" defaultRowHeight="12.75"/>
  <cols>
    <col min="2" max="2" width="15.140625" customWidth="1"/>
    <col min="3" max="8" width="13.7109375" customWidth="1"/>
  </cols>
  <sheetData>
    <row r="2" spans="2:8" ht="14.1" customHeight="1">
      <c r="B2" s="36" t="str">
        <f>"FY "&amp;MASTER!$B$4&amp;" - "&amp;MASTER!$B$5&amp;" OPERATING BUDGET"</f>
        <v>FY 2021 - 2022 OPERATING BUDGET</v>
      </c>
      <c r="C2" s="37"/>
      <c r="D2" s="37"/>
      <c r="E2" s="37"/>
      <c r="F2" s="37"/>
      <c r="G2" s="37"/>
      <c r="H2" s="39" t="s">
        <v>0</v>
      </c>
    </row>
    <row r="3" spans="2:8" ht="14.1" customHeight="1">
      <c r="B3" s="40"/>
      <c r="C3" s="40"/>
      <c r="D3" s="40"/>
      <c r="E3" s="40"/>
      <c r="F3" s="40"/>
      <c r="G3" s="40"/>
      <c r="H3" s="40"/>
    </row>
    <row r="4" spans="2:8" ht="23.25" customHeight="1">
      <c r="B4" s="40"/>
      <c r="C4" s="40"/>
      <c r="D4" s="40"/>
      <c r="E4" s="316" t="s">
        <v>23</v>
      </c>
      <c r="F4" s="316"/>
      <c r="G4" s="41"/>
      <c r="H4" s="40"/>
    </row>
    <row r="5" spans="2:8" ht="14.1" customHeight="1">
      <c r="B5" s="42"/>
      <c r="C5" s="42"/>
      <c r="D5" s="42"/>
      <c r="E5" s="312" t="str">
        <f>'Operating Budget'!B14</f>
        <v>Solid Waste Revenue</v>
      </c>
      <c r="F5" s="312"/>
      <c r="G5" s="2"/>
      <c r="H5" s="43"/>
    </row>
    <row r="6" spans="2:8" ht="19.5" customHeight="1">
      <c r="B6" s="40"/>
      <c r="C6" s="40"/>
      <c r="D6" s="40"/>
      <c r="E6" s="40"/>
      <c r="H6" s="40"/>
    </row>
    <row r="7" spans="2:8" ht="14.1" customHeight="1">
      <c r="B7" s="40"/>
      <c r="C7" s="40"/>
      <c r="D7" s="40"/>
      <c r="E7" s="202"/>
      <c r="F7" s="44"/>
      <c r="G7" s="44"/>
      <c r="H7" s="40"/>
    </row>
    <row r="8" spans="2:8" ht="14.1" customHeight="1">
      <c r="B8" s="41" t="s">
        <v>2</v>
      </c>
      <c r="C8" s="40">
        <f>'Operating Budget'!C14</f>
        <v>3130</v>
      </c>
      <c r="D8" s="40"/>
      <c r="E8" s="40"/>
      <c r="F8" s="40"/>
      <c r="G8" s="40"/>
      <c r="H8" s="40"/>
    </row>
    <row r="9" spans="2:8" ht="14.1" customHeight="1">
      <c r="B9" s="41" t="s">
        <v>3</v>
      </c>
      <c r="C9" s="40">
        <f>INDEX('Operating Budget'!$A$11:$A$107,MATCH('3'!C8,'Operating Budget'!C11:C107))</f>
        <v>3</v>
      </c>
      <c r="D9" s="40"/>
      <c r="E9" s="40"/>
      <c r="F9" s="40"/>
      <c r="G9" s="40"/>
      <c r="H9" s="40"/>
    </row>
    <row r="10" spans="2:8" ht="14.1" customHeight="1">
      <c r="B10" s="40"/>
      <c r="C10" s="40"/>
      <c r="D10" s="40"/>
      <c r="E10" s="40"/>
      <c r="F10" s="40"/>
      <c r="G10" s="40"/>
      <c r="H10" s="40"/>
    </row>
    <row r="11" spans="2:8" ht="14.1" hidden="1" customHeight="1">
      <c r="B11" s="40"/>
      <c r="C11" s="40"/>
      <c r="D11" s="40"/>
      <c r="E11" s="40"/>
      <c r="F11" s="40"/>
      <c r="G11" s="40"/>
      <c r="H11" s="40"/>
    </row>
    <row r="12" spans="2:8" ht="14.1" customHeight="1">
      <c r="B12" s="41" t="s">
        <v>4</v>
      </c>
      <c r="C12" s="40"/>
      <c r="D12" s="40"/>
      <c r="E12" s="40"/>
      <c r="F12" s="40"/>
      <c r="G12" s="40"/>
      <c r="H12" s="40"/>
    </row>
    <row r="13" spans="2:8" ht="14.1" customHeight="1">
      <c r="B13" s="313" t="s">
        <v>24</v>
      </c>
      <c r="C13" s="313"/>
      <c r="D13" s="313"/>
      <c r="E13" s="313"/>
      <c r="F13" s="313"/>
      <c r="G13" s="313"/>
      <c r="H13" s="313"/>
    </row>
    <row r="14" spans="2:8" ht="14.1" hidden="1" customHeight="1">
      <c r="B14" s="313"/>
      <c r="C14" s="313"/>
      <c r="D14" s="313"/>
      <c r="E14" s="313"/>
      <c r="F14" s="313"/>
      <c r="G14" s="313"/>
      <c r="H14" s="313"/>
    </row>
    <row r="15" spans="2:8" ht="14.1" customHeight="1">
      <c r="B15" s="45"/>
      <c r="C15" s="45"/>
      <c r="D15" s="45"/>
      <c r="E15" s="45"/>
      <c r="F15" s="45"/>
      <c r="G15" s="45"/>
      <c r="H15" s="45"/>
    </row>
    <row r="16" spans="2:8" ht="14.1" customHeight="1">
      <c r="B16" s="41" t="str">
        <f>"Changes for FY "&amp;MASTER!$B$4&amp;" - "&amp;MASTER!$B$5&amp;":"</f>
        <v>Changes for FY 2021 - 2022:</v>
      </c>
      <c r="C16" s="45"/>
      <c r="D16" s="45"/>
      <c r="E16" s="45"/>
      <c r="F16" s="45"/>
      <c r="G16" s="45"/>
      <c r="H16" s="45"/>
    </row>
    <row r="17" spans="2:8" ht="14.1" customHeight="1">
      <c r="B17" s="318" t="s">
        <v>25</v>
      </c>
      <c r="C17" s="318"/>
      <c r="D17" s="318"/>
      <c r="E17" s="318"/>
      <c r="F17" s="318"/>
      <c r="G17" s="318"/>
      <c r="H17" s="318"/>
    </row>
    <row r="18" spans="2:8" ht="14.1" customHeight="1">
      <c r="B18" s="318"/>
      <c r="C18" s="318"/>
      <c r="D18" s="318"/>
      <c r="E18" s="318"/>
      <c r="F18" s="318"/>
      <c r="G18" s="318"/>
      <c r="H18" s="318"/>
    </row>
    <row r="19" spans="2:8" ht="14.1" customHeight="1">
      <c r="B19" s="235"/>
      <c r="C19" s="235"/>
      <c r="D19" s="310"/>
      <c r="E19" s="310"/>
      <c r="F19" s="310"/>
      <c r="G19" s="310"/>
      <c r="H19" s="310"/>
    </row>
    <row r="20" spans="2:8" s="5" customFormat="1" ht="14.1" customHeight="1">
      <c r="B20" s="36" t="s">
        <v>7</v>
      </c>
      <c r="C20" s="37"/>
      <c r="D20" s="37"/>
      <c r="E20" s="37"/>
      <c r="F20" s="37"/>
      <c r="G20" s="37"/>
      <c r="H20" s="38"/>
    </row>
    <row r="21" spans="2:8" s="5" customFormat="1" ht="14.1" customHeight="1">
      <c r="B21" s="40"/>
      <c r="C21" s="41"/>
      <c r="D21" s="202"/>
      <c r="E21" s="40"/>
      <c r="F21" s="40"/>
      <c r="G21" s="40"/>
      <c r="H21" s="40"/>
    </row>
    <row r="22" spans="2:8" s="5" customFormat="1" ht="14.1" customHeight="1">
      <c r="B22" s="41" t="str">
        <f>$E$5</f>
        <v>Solid Waste Revenue</v>
      </c>
      <c r="C22" s="41"/>
      <c r="D22" s="202"/>
      <c r="E22" s="40"/>
      <c r="F22" s="40"/>
      <c r="G22" s="40"/>
      <c r="H22" s="40"/>
    </row>
    <row r="23" spans="2:8" s="5" customFormat="1" ht="14.1" customHeight="1">
      <c r="B23" s="46" t="s">
        <v>26</v>
      </c>
      <c r="C23" s="47"/>
      <c r="D23" s="47"/>
      <c r="E23" s="65">
        <v>768750</v>
      </c>
      <c r="G23" s="239"/>
      <c r="H23" s="40"/>
    </row>
    <row r="24" spans="2:8" s="5" customFormat="1" ht="14.1" customHeight="1" thickBot="1">
      <c r="B24" s="49" t="s">
        <v>10</v>
      </c>
      <c r="C24" s="49"/>
      <c r="D24" s="49"/>
      <c r="E24" s="50">
        <f>SUM(E23:E23)</f>
        <v>768750</v>
      </c>
      <c r="F24" s="40"/>
      <c r="G24" s="40"/>
      <c r="H24" s="40"/>
    </row>
    <row r="25" spans="2:8" s="5" customFormat="1" ht="14.1" customHeight="1" thickTop="1">
      <c r="B25" s="40"/>
      <c r="C25" s="41"/>
      <c r="E25" s="40"/>
      <c r="F25" s="40"/>
      <c r="G25" s="40"/>
      <c r="H25" s="40"/>
    </row>
    <row r="26" spans="2:8" s="5" customFormat="1" ht="14.1" customHeight="1">
      <c r="B26" s="41" t="s">
        <v>11</v>
      </c>
      <c r="C26" s="52">
        <f>ROUNDUP(E24,-$B$27)</f>
        <v>769000</v>
      </c>
      <c r="F26" s="40"/>
      <c r="G26" s="40"/>
      <c r="H26" s="40"/>
    </row>
    <row r="27" spans="2:8" s="5" customFormat="1" ht="14.1" customHeight="1">
      <c r="B27" s="51">
        <v>3</v>
      </c>
      <c r="C27" s="41"/>
      <c r="D27" s="40"/>
      <c r="E27" s="40"/>
      <c r="F27" s="40"/>
      <c r="G27" s="40"/>
      <c r="H27" s="40"/>
    </row>
    <row r="28" spans="2:8" s="5" customFormat="1" ht="14.1" customHeight="1">
      <c r="B28" s="40"/>
      <c r="C28" s="41"/>
      <c r="D28" s="40"/>
      <c r="E28" s="40"/>
      <c r="F28" s="40"/>
      <c r="G28" s="40"/>
      <c r="H28" s="40"/>
    </row>
    <row r="29" spans="2:8" s="5" customFormat="1" ht="14.1" customHeight="1">
      <c r="B29" s="40"/>
      <c r="C29" s="41"/>
      <c r="D29" s="40"/>
      <c r="E29" s="53" t="s">
        <v>12</v>
      </c>
      <c r="F29" s="54" t="s">
        <v>13</v>
      </c>
      <c r="G29" s="54" t="s">
        <v>14</v>
      </c>
      <c r="H29" s="55" t="s">
        <v>15</v>
      </c>
    </row>
    <row r="30" spans="2:8" s="5" customFormat="1" ht="14.1" customHeight="1">
      <c r="B30" s="36"/>
      <c r="C30" s="36"/>
      <c r="D30" s="36"/>
      <c r="E30" s="53" t="str">
        <f>"FY "&amp;MASTER!$B$4-1&amp;" - "&amp;MASTER!$B$4</f>
        <v>FY 2020 - 2021</v>
      </c>
      <c r="F30" s="56">
        <f>MASTER!$B$6</f>
        <v>44255</v>
      </c>
      <c r="G30" s="54" t="str">
        <f>"June "&amp;MASTER!$B$4</f>
        <v>June 2021</v>
      </c>
      <c r="H30" s="55" t="str">
        <f>"FY "&amp;MASTER!$B$4&amp;" - "&amp;MASTER!$B$5</f>
        <v>FY 2021 - 2022</v>
      </c>
    </row>
    <row r="31" spans="2:8" s="5" customFormat="1" ht="14.1" customHeight="1">
      <c r="B31" s="57"/>
      <c r="C31" s="57"/>
      <c r="D31" s="58"/>
      <c r="E31" s="59"/>
      <c r="F31" s="60"/>
      <c r="G31" s="60"/>
      <c r="H31" s="58"/>
    </row>
    <row r="32" spans="2:8" s="5" customFormat="1" ht="14.1" customHeight="1">
      <c r="B32" s="40" t="str">
        <f>$E$5</f>
        <v>Solid Waste Revenue</v>
      </c>
      <c r="C32" s="41"/>
      <c r="D32" s="58"/>
      <c r="E32" s="61">
        <v>750000</v>
      </c>
      <c r="F32" s="62">
        <v>569130</v>
      </c>
      <c r="G32" s="62">
        <v>749275</v>
      </c>
      <c r="H32" s="63">
        <f>$C$26</f>
        <v>769000</v>
      </c>
    </row>
    <row r="33" spans="2:8" s="5" customFormat="1" ht="14.1" customHeight="1">
      <c r="B33" s="40"/>
      <c r="C33" s="41"/>
      <c r="D33" s="58"/>
      <c r="E33" s="59"/>
      <c r="F33" s="60"/>
      <c r="G33" s="60"/>
      <c r="H33" s="58"/>
    </row>
    <row r="34" spans="2:8" s="5" customFormat="1" ht="14.1" customHeight="1">
      <c r="B34" s="40"/>
      <c r="C34" s="41"/>
      <c r="D34" s="58"/>
      <c r="E34" s="58"/>
      <c r="F34" s="58"/>
      <c r="G34" s="58"/>
      <c r="H34" s="58"/>
    </row>
    <row r="35" spans="2:8" s="5" customFormat="1" ht="14.1" customHeight="1">
      <c r="B35" s="40"/>
      <c r="C35" s="41"/>
      <c r="D35" s="58"/>
      <c r="E35" s="58"/>
      <c r="F35" s="58"/>
      <c r="G35" s="58"/>
      <c r="H35" s="58"/>
    </row>
    <row r="36" spans="2:8" s="5" customFormat="1" ht="14.1" customHeight="1">
      <c r="B36" s="40"/>
      <c r="C36" s="41"/>
      <c r="D36" s="58"/>
      <c r="E36" s="58"/>
      <c r="F36" s="58"/>
      <c r="G36" s="58"/>
      <c r="H36" s="58"/>
    </row>
    <row r="37" spans="2:8" s="5" customFormat="1" ht="14.1" customHeight="1">
      <c r="B37" s="40"/>
      <c r="C37" s="41"/>
      <c r="D37" s="58"/>
      <c r="E37" s="58"/>
      <c r="F37" s="58"/>
      <c r="G37" s="58"/>
      <c r="H37" s="58"/>
    </row>
    <row r="38" spans="2:8" s="5" customFormat="1" ht="14.1" customHeight="1">
      <c r="B38" s="2"/>
      <c r="C38" s="1"/>
      <c r="D38" s="58"/>
      <c r="E38" s="58"/>
      <c r="F38" s="58"/>
      <c r="G38" s="58"/>
      <c r="H38" s="58"/>
    </row>
    <row r="39" spans="2:8" s="5" customFormat="1" ht="14.1" customHeight="1">
      <c r="B39" s="2"/>
      <c r="C39" s="1"/>
    </row>
    <row r="40" spans="2:8" s="5" customFormat="1" ht="14.1" customHeight="1">
      <c r="C40" s="3"/>
    </row>
    <row r="41" spans="2:8" s="5" customFormat="1" ht="14.1" customHeight="1">
      <c r="C41" s="3"/>
    </row>
    <row r="42" spans="2:8" s="5" customFormat="1" ht="14.1" customHeight="1"/>
    <row r="43" spans="2:8" s="5" customFormat="1" ht="14.1" customHeight="1">
      <c r="E43" s="20"/>
    </row>
    <row r="44" spans="2:8" s="5" customFormat="1" ht="12.75" customHeight="1">
      <c r="E44" s="20"/>
    </row>
    <row r="45" spans="2:8" s="5" customFormat="1" ht="12.75" customHeight="1">
      <c r="E45" s="20"/>
    </row>
    <row r="46" spans="2:8" s="5" customFormat="1" ht="12.75" customHeight="1">
      <c r="E46" s="20"/>
      <c r="F46" s="6"/>
    </row>
    <row r="47" spans="2:8" s="5" customFormat="1" ht="12.75" customHeight="1">
      <c r="E47" s="20"/>
    </row>
    <row r="48" spans="2:8" s="5" customFormat="1" ht="12.75" customHeight="1">
      <c r="D48" s="21"/>
      <c r="E48" s="20"/>
    </row>
    <row r="49" spans="4:253" s="5" customFormat="1" ht="12.75" customHeight="1">
      <c r="D49" s="21"/>
      <c r="E49" s="20"/>
    </row>
    <row r="50" spans="4:253" s="5" customFormat="1" ht="12.75" customHeight="1">
      <c r="E50" s="20"/>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row>
    <row r="51" spans="4:253" s="5" customFormat="1" ht="12.75" customHeight="1">
      <c r="D51" s="21"/>
      <c r="E51" s="20"/>
    </row>
    <row r="52" spans="4:253" s="5" customFormat="1" ht="12.75" customHeight="1">
      <c r="E52" s="20"/>
    </row>
    <row r="53" spans="4:253" ht="12.75" customHeight="1">
      <c r="E53" s="20"/>
    </row>
    <row r="54" spans="4:253" ht="12.75" customHeight="1">
      <c r="E54" s="4"/>
    </row>
    <row r="55" spans="4:253">
      <c r="E55" s="3"/>
    </row>
    <row r="67" spans="4:5">
      <c r="D67" s="3"/>
      <c r="E67" s="3"/>
    </row>
  </sheetData>
  <mergeCells count="4">
    <mergeCell ref="E4:F4"/>
    <mergeCell ref="E5:F5"/>
    <mergeCell ref="B13:H14"/>
    <mergeCell ref="B17:H18"/>
  </mergeCells>
  <dataValidations count="1">
    <dataValidation type="list" allowBlank="1" showInputMessage="1" showErrorMessage="1" sqref="E4" xr:uid="{00000000-0002-0000-0800-000000000000}">
      <formula1>enterprise</formula1>
    </dataValidation>
  </dataValidations>
  <pageMargins left="0.7" right="0.7" top="0.75" bottom="0.75" header="0.3" footer="0.3"/>
  <pageSetup scale="9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pageSetUpPr fitToPage="1"/>
  </sheetPr>
  <dimension ref="B2:IS63"/>
  <sheetViews>
    <sheetView workbookViewId="0">
      <selection activeCell="H33" sqref="H33"/>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E31</f>
        <v>12000</v>
      </c>
      <c r="K2" s="120">
        <f t="shared" ref="K2:M2" si="0">F31</f>
        <v>9000</v>
      </c>
      <c r="L2" s="120">
        <f t="shared" si="0"/>
        <v>12000</v>
      </c>
      <c r="M2" s="120">
        <f t="shared" si="0"/>
        <v>12500</v>
      </c>
    </row>
    <row r="3" spans="2:13" ht="14.1" customHeight="1">
      <c r="B3" s="40"/>
      <c r="C3" s="40"/>
      <c r="D3" s="40"/>
      <c r="E3" s="40"/>
      <c r="F3" s="40"/>
      <c r="G3" s="40"/>
      <c r="H3" s="40"/>
      <c r="J3" s="121">
        <f>C36</f>
        <v>0.39</v>
      </c>
      <c r="K3" s="121"/>
      <c r="L3" s="121"/>
      <c r="M3" s="121"/>
    </row>
    <row r="4" spans="2:13" ht="23.25" customHeight="1">
      <c r="B4" s="40"/>
      <c r="C4" s="40"/>
      <c r="D4" s="40"/>
      <c r="E4" s="316" t="s">
        <v>118</v>
      </c>
      <c r="F4" s="316"/>
      <c r="G4" s="41"/>
      <c r="H4" s="40"/>
      <c r="J4" s="121">
        <f t="shared" ref="J4:J7" si="1">C37</f>
        <v>0.4</v>
      </c>
    </row>
    <row r="5" spans="2:13" ht="14.1" customHeight="1">
      <c r="B5" s="42"/>
      <c r="C5" s="42"/>
      <c r="D5" s="312" t="str">
        <f>'Operating Budget'!B58</f>
        <v>Workers' Comp Insurance</v>
      </c>
      <c r="E5" s="312"/>
      <c r="F5" s="312"/>
      <c r="G5" s="312"/>
      <c r="H5" s="43"/>
      <c r="J5" s="121">
        <f t="shared" si="1"/>
        <v>0.19</v>
      </c>
    </row>
    <row r="6" spans="2:13" ht="19.5" customHeight="1">
      <c r="B6" s="40"/>
      <c r="C6" s="40"/>
      <c r="D6" s="40"/>
      <c r="E6" s="40"/>
      <c r="H6" s="40"/>
      <c r="J6" s="121">
        <f t="shared" si="1"/>
        <v>0.02</v>
      </c>
    </row>
    <row r="7" spans="2:13" ht="14.1" hidden="1" customHeight="1">
      <c r="B7" s="40"/>
      <c r="C7" s="40"/>
      <c r="D7" s="40"/>
      <c r="E7" s="40"/>
      <c r="F7" s="44"/>
      <c r="G7" s="44"/>
      <c r="H7" s="40"/>
      <c r="J7" s="121">
        <f t="shared" si="1"/>
        <v>1</v>
      </c>
    </row>
    <row r="8" spans="2:13" ht="14.1" customHeight="1">
      <c r="B8" s="41" t="s">
        <v>2</v>
      </c>
      <c r="C8" s="40">
        <f>'Operating Budget'!C58</f>
        <v>4600</v>
      </c>
      <c r="D8" s="40"/>
      <c r="E8" s="40"/>
      <c r="F8" s="40"/>
      <c r="G8" s="202"/>
      <c r="H8" s="40"/>
    </row>
    <row r="9" spans="2:13" ht="14.1" customHeight="1">
      <c r="B9" s="41" t="s">
        <v>3</v>
      </c>
      <c r="C9" s="40">
        <f>INDEX('Operating Budget'!$A$11:$A$107,MATCH('29'!C8,'Operating Budget'!C11:C107))</f>
        <v>29</v>
      </c>
      <c r="D9" s="40"/>
      <c r="E9" s="40"/>
      <c r="F9" s="40"/>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186</v>
      </c>
      <c r="C13" s="319"/>
      <c r="D13" s="319"/>
      <c r="E13" s="319"/>
      <c r="F13" s="319"/>
      <c r="G13" s="319"/>
      <c r="H13" s="319"/>
    </row>
    <row r="14" spans="2:13" ht="14.1" hidden="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t="s">
        <v>187</v>
      </c>
      <c r="C17" s="319"/>
      <c r="D17" s="319"/>
      <c r="E17" s="319"/>
      <c r="F17" s="319"/>
      <c r="G17" s="319"/>
      <c r="H17" s="319"/>
    </row>
    <row r="18" spans="2:13" ht="14.1" customHeight="1">
      <c r="B18" s="310"/>
      <c r="C18" s="310"/>
      <c r="D18" s="310"/>
      <c r="E18" s="310"/>
      <c r="F18" s="310"/>
      <c r="G18" s="310"/>
      <c r="H18" s="310"/>
    </row>
    <row r="19" spans="2:13" s="5" customFormat="1" ht="14.1" customHeight="1">
      <c r="B19" s="36" t="s">
        <v>7</v>
      </c>
      <c r="C19" s="37"/>
      <c r="D19" s="37"/>
      <c r="E19" s="37"/>
      <c r="F19" s="37"/>
      <c r="G19" s="37"/>
      <c r="H19" s="38"/>
    </row>
    <row r="20" spans="2:13" s="5" customFormat="1" ht="14.1" customHeight="1">
      <c r="B20" s="40"/>
      <c r="C20" s="41"/>
      <c r="D20" s="40"/>
      <c r="E20" s="40"/>
      <c r="F20" s="40"/>
      <c r="G20" s="40"/>
      <c r="H20" s="40"/>
    </row>
    <row r="21" spans="2:13" s="5" customFormat="1" ht="14.1" customHeight="1">
      <c r="B21" s="67" t="str">
        <f>$D$5</f>
        <v>Workers' Comp Insurance</v>
      </c>
      <c r="C21" s="67"/>
      <c r="D21" s="68"/>
      <c r="E21" s="68"/>
      <c r="F21" s="68" t="s">
        <v>10</v>
      </c>
      <c r="G21" s="69" t="s">
        <v>31</v>
      </c>
      <c r="H21" s="40"/>
      <c r="J21" s="73" t="s">
        <v>32</v>
      </c>
      <c r="K21" s="73" t="s">
        <v>33</v>
      </c>
      <c r="L21" s="73" t="s">
        <v>34</v>
      </c>
      <c r="M21" s="73" t="s">
        <v>35</v>
      </c>
    </row>
    <row r="22" spans="2:13" s="5" customFormat="1" ht="14.1" customHeight="1">
      <c r="B22" s="64" t="s">
        <v>188</v>
      </c>
      <c r="C22" s="57"/>
      <c r="D22" s="80"/>
      <c r="E22" s="66"/>
      <c r="F22" s="66">
        <v>12500</v>
      </c>
      <c r="G22" s="71" t="s">
        <v>152</v>
      </c>
      <c r="H22" s="40"/>
      <c r="J22" s="74">
        <f>INDEX(MASTER!$C$25:$F$42,MATCH($G22,allocation,0),MATCH(J$21,MASTER!$C$24:$F$24,0))</f>
        <v>0.39</v>
      </c>
      <c r="K22" s="74">
        <f>INDEX(MASTER!$C$25:$F$42,MATCH($G22,allocation,0),MATCH(K$21,MASTER!$C$24:$F$24,0))</f>
        <v>0.4</v>
      </c>
      <c r="L22" s="74">
        <f>INDEX(MASTER!$C$25:$F$42,MATCH($G22,allocation,0),MATCH(L$21,MASTER!$C$24:$F$24,0))</f>
        <v>0.19</v>
      </c>
      <c r="M22" s="74">
        <f>INDEX(MASTER!$C$25:$F$42,MATCH($G22,allocation,0),MATCH(M$21,MASTER!$C$24:$F$24,0))</f>
        <v>0.02</v>
      </c>
    </row>
    <row r="23" spans="2:13" s="5" customFormat="1" ht="14.1" customHeight="1" thickBot="1">
      <c r="B23" s="49" t="s">
        <v>10</v>
      </c>
      <c r="C23" s="49"/>
      <c r="D23" s="49"/>
      <c r="E23" s="49"/>
      <c r="F23" s="50">
        <f>SUM(F22:F22)</f>
        <v>12500</v>
      </c>
      <c r="G23" s="49"/>
      <c r="H23" s="40"/>
    </row>
    <row r="24" spans="2:13" s="5" customFormat="1" ht="14.1" customHeight="1" thickTop="1">
      <c r="B24" s="40"/>
      <c r="C24" s="41"/>
      <c r="G24" s="40"/>
      <c r="H24" s="40"/>
    </row>
    <row r="25" spans="2:13" s="5" customFormat="1" ht="14.1" customHeight="1">
      <c r="B25" s="41" t="s">
        <v>11</v>
      </c>
      <c r="C25" s="35">
        <f>ROUNDUP($F$23,-$B$26)</f>
        <v>12500</v>
      </c>
      <c r="F25" s="40"/>
      <c r="G25" s="40"/>
      <c r="H25" s="40"/>
    </row>
    <row r="26" spans="2:13" s="5" customFormat="1" ht="14.1" customHeight="1">
      <c r="B26" s="51">
        <v>2</v>
      </c>
      <c r="C26" s="41"/>
      <c r="D26" s="40"/>
      <c r="E26" s="40"/>
      <c r="F26" s="40"/>
      <c r="G26" s="40"/>
      <c r="H26" s="40"/>
    </row>
    <row r="27" spans="2:13" s="5" customFormat="1" ht="14.1" customHeight="1">
      <c r="B27" s="40"/>
      <c r="C27" s="41"/>
      <c r="D27" s="40"/>
      <c r="E27" s="40"/>
      <c r="F27" s="40"/>
      <c r="G27" s="40"/>
      <c r="H27" s="40"/>
    </row>
    <row r="28" spans="2:13" s="5" customFormat="1" ht="14.1" customHeight="1">
      <c r="B28" s="40"/>
      <c r="C28" s="41"/>
      <c r="D28" s="40"/>
      <c r="E28" s="53" t="s">
        <v>12</v>
      </c>
      <c r="F28" s="54" t="s">
        <v>13</v>
      </c>
      <c r="G28" s="54" t="s">
        <v>14</v>
      </c>
      <c r="H28" s="55" t="s">
        <v>15</v>
      </c>
    </row>
    <row r="29" spans="2:13" s="5" customFormat="1" ht="14.1" customHeight="1">
      <c r="B29" s="36"/>
      <c r="C29" s="36"/>
      <c r="D29" s="36"/>
      <c r="E29" s="53" t="str">
        <f>"FY "&amp;MASTER!$B$4-1&amp;" - "&amp;MASTER!$B$4</f>
        <v>FY 2020 - 2021</v>
      </c>
      <c r="F29" s="56">
        <f>MASTER!$B$6</f>
        <v>44255</v>
      </c>
      <c r="G29" s="54" t="str">
        <f>"June "&amp;MASTER!$B$4</f>
        <v>June 2021</v>
      </c>
      <c r="H29" s="55" t="str">
        <f>"FY "&amp;MASTER!$B$4&amp;" - "&amp;MASTER!$B$5</f>
        <v>FY 2021 - 2022</v>
      </c>
    </row>
    <row r="30" spans="2:13" s="5" customFormat="1" ht="14.1" customHeight="1">
      <c r="B30" s="57"/>
      <c r="C30" s="57"/>
      <c r="D30" s="58"/>
      <c r="E30" s="59"/>
      <c r="F30" s="60"/>
      <c r="G30" s="60"/>
      <c r="H30" s="58"/>
    </row>
    <row r="31" spans="2:13" s="5" customFormat="1" ht="14.1" customHeight="1">
      <c r="B31" s="40" t="str">
        <f>$D$5</f>
        <v>Workers' Comp Insurance</v>
      </c>
      <c r="C31" s="41"/>
      <c r="D31" s="58"/>
      <c r="E31" s="61">
        <v>12000</v>
      </c>
      <c r="F31" s="62">
        <v>9000</v>
      </c>
      <c r="G31" s="62">
        <v>12000</v>
      </c>
      <c r="H31" s="63">
        <f>$C$25</f>
        <v>12500</v>
      </c>
    </row>
    <row r="32" spans="2:13" s="5" customFormat="1" ht="14.1" customHeight="1">
      <c r="B32" s="40"/>
      <c r="C32" s="41"/>
      <c r="D32" s="58"/>
      <c r="E32" s="59"/>
      <c r="F32" s="59"/>
      <c r="G32" s="58"/>
      <c r="H32" s="82"/>
    </row>
    <row r="33" spans="2:253" s="5" customFormat="1" ht="14.1" customHeight="1">
      <c r="B33" s="40"/>
      <c r="C33" s="41"/>
      <c r="D33" s="58"/>
      <c r="E33" s="58"/>
      <c r="F33" s="58"/>
      <c r="G33" s="58"/>
      <c r="H33" s="63"/>
    </row>
    <row r="34" spans="2:253" s="5" customFormat="1" ht="14.1" customHeight="1">
      <c r="B34" s="2"/>
      <c r="C34" s="1"/>
    </row>
    <row r="35" spans="2:253" s="5" customFormat="1" ht="14.1" customHeight="1">
      <c r="B35" s="36" t="s">
        <v>39</v>
      </c>
      <c r="C35" s="36"/>
      <c r="D35" s="55" t="s">
        <v>40</v>
      </c>
      <c r="E35" s="55" t="s">
        <v>41</v>
      </c>
    </row>
    <row r="36" spans="2:253" s="5" customFormat="1" ht="14.1" customHeight="1">
      <c r="B36" s="75" t="s">
        <v>32</v>
      </c>
      <c r="C36" s="84">
        <f>E36/E40</f>
        <v>0.39</v>
      </c>
      <c r="D36" s="78">
        <f>SUMPRODUCT($F$22:$F$22,$J$22:$J$22)</f>
        <v>4875</v>
      </c>
      <c r="E36" s="78">
        <f>$D36+($C$25-SUM($D$36:$D$39))*($D36/$D$40)</f>
        <v>4875</v>
      </c>
    </row>
    <row r="37" spans="2:253" s="5" customFormat="1" ht="14.1" customHeight="1">
      <c r="B37" s="75" t="s">
        <v>33</v>
      </c>
      <c r="C37" s="84">
        <f>E37/E40</f>
        <v>0.4</v>
      </c>
      <c r="D37" s="78">
        <f>SUMPRODUCT($F$22:$F$22,$K$22:$K$22)</f>
        <v>5000</v>
      </c>
      <c r="E37" s="78">
        <f>$D37+($C$25-SUM($D$36:$D$39))*($D37/$D$40)</f>
        <v>5000</v>
      </c>
    </row>
    <row r="38" spans="2:253" s="5" customFormat="1" ht="14.1" customHeight="1">
      <c r="B38" s="75" t="s">
        <v>34</v>
      </c>
      <c r="C38" s="84">
        <f>E38/E40</f>
        <v>0.19</v>
      </c>
      <c r="D38" s="78">
        <f>SUMPRODUCT($F$22:$F$22,$L$22:$L$22)</f>
        <v>2375</v>
      </c>
      <c r="E38" s="78">
        <f>$D38+($C$25-SUM($D$36:$D$39))*($D38/$D$40)</f>
        <v>2375</v>
      </c>
    </row>
    <row r="39" spans="2:253" s="5" customFormat="1" ht="14.1" customHeight="1">
      <c r="B39" s="75" t="s">
        <v>35</v>
      </c>
      <c r="C39" s="84">
        <f>E39/E40</f>
        <v>0.02</v>
      </c>
      <c r="D39" s="78">
        <f>SUMPRODUCT($F$22:$F$22,$M$22:$M$22)</f>
        <v>250</v>
      </c>
      <c r="E39" s="78">
        <f>$D39+($C$25-SUM($D$36:$D$39))*($D39/$D$40)</f>
        <v>250</v>
      </c>
    </row>
    <row r="40" spans="2:253" s="5" customFormat="1" ht="12.75" customHeight="1">
      <c r="B40" s="77" t="s">
        <v>10</v>
      </c>
      <c r="C40" s="85">
        <f>SUM(C36:C39)</f>
        <v>1</v>
      </c>
      <c r="D40" s="79">
        <f>SUM(D36:D39)</f>
        <v>12500</v>
      </c>
      <c r="E40" s="79">
        <f>SUM(E36:E39)</f>
        <v>12500</v>
      </c>
    </row>
    <row r="41" spans="2:253" s="5" customFormat="1" ht="12.75" customHeight="1">
      <c r="B41" s="2"/>
      <c r="C41" s="2"/>
      <c r="D41" s="2"/>
      <c r="E41" s="76"/>
    </row>
    <row r="42" spans="2:253" s="5" customFormat="1" ht="12.75" customHeight="1">
      <c r="E42" s="20"/>
      <c r="F42" s="6"/>
    </row>
    <row r="43" spans="2:253" s="5" customFormat="1" ht="12.75" customHeight="1">
      <c r="E43" s="20"/>
    </row>
    <row r="44" spans="2:253" s="5" customFormat="1" ht="12.75" customHeight="1">
      <c r="D44" s="21"/>
      <c r="E44" s="20"/>
    </row>
    <row r="45" spans="2:253" s="5" customFormat="1" ht="12.75" customHeight="1">
      <c r="D45" s="21"/>
      <c r="E45" s="20"/>
    </row>
    <row r="46" spans="2:253" s="5" customFormat="1" ht="12.75" customHeight="1">
      <c r="E46" s="20"/>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row>
    <row r="47" spans="2:253" s="5" customFormat="1" ht="12.75" customHeight="1">
      <c r="D47" s="21"/>
      <c r="E47" s="20"/>
    </row>
    <row r="48" spans="2:253" s="5" customFormat="1" ht="12.75" customHeight="1">
      <c r="E48" s="20"/>
    </row>
    <row r="49" spans="4:5" ht="12.75" customHeight="1">
      <c r="E49" s="20"/>
    </row>
    <row r="50" spans="4:5" ht="12.75" customHeight="1">
      <c r="E50" s="4"/>
    </row>
    <row r="51" spans="4:5">
      <c r="E51" s="3"/>
    </row>
    <row r="63" spans="4:5">
      <c r="D63" s="3"/>
      <c r="E63" s="3"/>
    </row>
  </sheetData>
  <mergeCells count="4">
    <mergeCell ref="E4:F4"/>
    <mergeCell ref="D5:G5"/>
    <mergeCell ref="B13:H14"/>
    <mergeCell ref="B17:H17"/>
  </mergeCells>
  <dataValidations count="2">
    <dataValidation type="list" allowBlank="1" showInputMessage="1" showErrorMessage="1" sqref="E4" xr:uid="{00000000-0002-0000-2300-000000000000}">
      <formula1>enterprise</formula1>
    </dataValidation>
    <dataValidation type="list" allowBlank="1" showInputMessage="1" showErrorMessage="1" sqref="G22" xr:uid="{00000000-0002-0000-2300-000001000000}">
      <formula1>allocation</formula1>
    </dataValidation>
  </dataValidations>
  <pageMargins left="0.7" right="0.7" top="0.75" bottom="0.75" header="0.3" footer="0.3"/>
  <pageSetup scale="94"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pageSetUpPr fitToPage="1"/>
  </sheetPr>
  <dimension ref="B2:IS66"/>
  <sheetViews>
    <sheetView topLeftCell="A6" workbookViewId="0">
      <selection activeCell="G34" sqref="G34"/>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E34</f>
        <v>22000</v>
      </c>
      <c r="K2" s="120">
        <f t="shared" ref="K2:M2" si="0">F34</f>
        <v>7000</v>
      </c>
      <c r="L2" s="120">
        <f t="shared" si="0"/>
        <v>12000</v>
      </c>
      <c r="M2" s="120">
        <f t="shared" si="0"/>
        <v>18000</v>
      </c>
    </row>
    <row r="3" spans="2:13" ht="14.1" customHeight="1">
      <c r="B3" s="40"/>
      <c r="C3" s="40"/>
      <c r="D3" s="40"/>
      <c r="E3" s="40"/>
      <c r="F3" s="40"/>
      <c r="G3" s="40"/>
      <c r="H3" s="40"/>
      <c r="J3" s="121">
        <f>C39</f>
        <v>0.39</v>
      </c>
      <c r="K3" s="121"/>
      <c r="L3" s="121"/>
      <c r="M3" s="121"/>
    </row>
    <row r="4" spans="2:13" ht="23.25" customHeight="1">
      <c r="B4" s="40"/>
      <c r="C4" s="40"/>
      <c r="D4" s="40"/>
      <c r="E4" s="316" t="s">
        <v>118</v>
      </c>
      <c r="F4" s="316"/>
      <c r="G4" s="41"/>
      <c r="H4" s="40"/>
      <c r="J4" s="121">
        <f t="shared" ref="J4:J6" si="1">C40</f>
        <v>0.4</v>
      </c>
    </row>
    <row r="5" spans="2:13" ht="14.1" customHeight="1">
      <c r="B5" s="42"/>
      <c r="C5" s="42"/>
      <c r="D5" s="312" t="str">
        <f>'Operating Budget'!B59</f>
        <v>Employee Education</v>
      </c>
      <c r="E5" s="312"/>
      <c r="F5" s="312"/>
      <c r="G5" s="312"/>
      <c r="H5" s="43"/>
      <c r="J5" s="121">
        <f t="shared" si="1"/>
        <v>0.19</v>
      </c>
    </row>
    <row r="6" spans="2:13" ht="19.5" customHeight="1">
      <c r="B6" s="40"/>
      <c r="C6" s="40"/>
      <c r="D6" s="40"/>
      <c r="E6" s="40"/>
      <c r="H6" s="40"/>
      <c r="J6" s="121">
        <f t="shared" si="1"/>
        <v>0.02</v>
      </c>
    </row>
    <row r="7" spans="2:13" ht="14.1" hidden="1" customHeight="1">
      <c r="B7" s="40"/>
      <c r="C7" s="40"/>
      <c r="D7" s="40"/>
      <c r="E7" s="40"/>
      <c r="F7" s="44"/>
      <c r="G7" s="44"/>
      <c r="H7" s="40"/>
    </row>
    <row r="8" spans="2:13" ht="14.1" customHeight="1">
      <c r="B8" s="41" t="s">
        <v>2</v>
      </c>
      <c r="C8" s="40">
        <f>'Operating Budget'!C59</f>
        <v>4650</v>
      </c>
      <c r="D8" s="40"/>
      <c r="E8" s="40"/>
      <c r="F8" s="40"/>
      <c r="G8" s="40"/>
      <c r="H8" s="40"/>
    </row>
    <row r="9" spans="2:13" ht="14.1" customHeight="1">
      <c r="B9" s="41" t="s">
        <v>3</v>
      </c>
      <c r="C9" s="40">
        <f>INDEX('Operating Budget'!$A$11:$A$107,MATCH('30'!C8,'Operating Budget'!C11:C107))</f>
        <v>30</v>
      </c>
      <c r="D9" s="40"/>
      <c r="E9" s="40"/>
      <c r="F9" s="40"/>
      <c r="G9" s="40"/>
      <c r="H9" s="202"/>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189</v>
      </c>
      <c r="C13" s="319"/>
      <c r="D13" s="319"/>
      <c r="E13" s="319"/>
      <c r="F13" s="319"/>
      <c r="G13" s="319"/>
      <c r="H13" s="319"/>
    </row>
    <row r="14" spans="2:13" ht="14.1" hidden="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t="s">
        <v>190</v>
      </c>
      <c r="C17" s="319"/>
      <c r="D17" s="319"/>
      <c r="E17" s="319"/>
      <c r="F17" s="319"/>
      <c r="G17" s="319"/>
      <c r="H17" s="319"/>
    </row>
    <row r="18" spans="2:13" ht="14.1" customHeight="1">
      <c r="B18" s="310"/>
      <c r="C18" s="310"/>
      <c r="D18" s="310"/>
      <c r="E18" s="310"/>
      <c r="F18" s="310"/>
      <c r="G18" s="310"/>
      <c r="H18" s="310"/>
    </row>
    <row r="19" spans="2:13" s="5" customFormat="1" ht="14.1" customHeight="1">
      <c r="B19" s="36" t="s">
        <v>7</v>
      </c>
      <c r="C19" s="37"/>
      <c r="D19" s="37"/>
      <c r="E19" s="37"/>
      <c r="F19" s="37"/>
      <c r="G19" s="37"/>
      <c r="H19" s="38"/>
    </row>
    <row r="20" spans="2:13" s="5" customFormat="1" ht="14.1" customHeight="1">
      <c r="B20" s="40"/>
      <c r="C20" s="41"/>
      <c r="D20" s="40"/>
      <c r="E20" s="40"/>
      <c r="F20" s="40"/>
      <c r="G20" s="40"/>
      <c r="H20" s="40"/>
    </row>
    <row r="21" spans="2:13" s="5" customFormat="1" ht="14.1" customHeight="1">
      <c r="B21" s="67" t="str">
        <f>$D$5</f>
        <v>Employee Education</v>
      </c>
      <c r="C21" s="67"/>
      <c r="D21" s="68"/>
      <c r="E21" s="68"/>
      <c r="F21" s="68" t="s">
        <v>10</v>
      </c>
      <c r="G21" s="69" t="s">
        <v>31</v>
      </c>
      <c r="H21" s="40"/>
      <c r="J21" s="73" t="s">
        <v>32</v>
      </c>
      <c r="K21" s="73" t="s">
        <v>33</v>
      </c>
      <c r="L21" s="73" t="s">
        <v>34</v>
      </c>
      <c r="M21" s="73" t="s">
        <v>35</v>
      </c>
    </row>
    <row r="22" spans="2:13" s="5" customFormat="1" ht="14.1" customHeight="1">
      <c r="B22" s="5" t="s">
        <v>191</v>
      </c>
      <c r="C22" s="57"/>
      <c r="D22" s="80"/>
      <c r="E22" s="66" t="s">
        <v>192</v>
      </c>
      <c r="F22" s="66">
        <v>6000</v>
      </c>
      <c r="G22" s="71" t="s">
        <v>152</v>
      </c>
      <c r="H22" s="40"/>
      <c r="J22" s="74">
        <f>INDEX(MASTER!$C$25:$F$42,MATCH($G22,allocation,0),MATCH(J$21,MASTER!$C$24:$F$24,0))</f>
        <v>0.39</v>
      </c>
      <c r="K22" s="74">
        <f>INDEX(MASTER!$C$25:$F$42,MATCH($G22,allocation,0),MATCH(K$21,MASTER!$C$24:$F$24,0))</f>
        <v>0.4</v>
      </c>
      <c r="L22" s="74">
        <f>INDEX(MASTER!$C$25:$F$42,MATCH($G22,allocation,0),MATCH(L$21,MASTER!$C$24:$F$24,0))</f>
        <v>0.19</v>
      </c>
      <c r="M22" s="74">
        <f>INDEX(MASTER!$C$25:$F$42,MATCH($G22,allocation,0),MATCH(M$21,MASTER!$C$24:$F$24,0))</f>
        <v>0.02</v>
      </c>
    </row>
    <row r="23" spans="2:13" s="5" customFormat="1" ht="14.1" customHeight="1">
      <c r="B23" s="5" t="s">
        <v>193</v>
      </c>
      <c r="C23" s="57"/>
      <c r="D23" s="80"/>
      <c r="E23" s="66"/>
      <c r="F23" s="66">
        <v>4000</v>
      </c>
      <c r="G23" s="81" t="s">
        <v>152</v>
      </c>
      <c r="H23" s="40"/>
      <c r="J23" s="74">
        <f>INDEX(MASTER!$C$25:$F$42,MATCH($G23,allocation,0),MATCH(J$21,MASTER!$C$24:$F$24,0))</f>
        <v>0.39</v>
      </c>
      <c r="K23" s="74">
        <f>INDEX(MASTER!$C$25:$F$42,MATCH($G23,allocation,0),MATCH(K$21,MASTER!$C$24:$F$24,0))</f>
        <v>0.4</v>
      </c>
      <c r="L23" s="74">
        <f>INDEX(MASTER!$C$25:$F$42,MATCH($G23,allocation,0),MATCH(L$21,MASTER!$C$24:$F$24,0))</f>
        <v>0.19</v>
      </c>
      <c r="M23" s="74">
        <f>INDEX(MASTER!$C$25:$F$42,MATCH($G23,allocation,0),MATCH(M$21,MASTER!$C$24:$F$24,0))</f>
        <v>0.02</v>
      </c>
    </row>
    <row r="24" spans="2:13" s="5" customFormat="1" ht="14.1" customHeight="1">
      <c r="B24" s="5" t="s">
        <v>194</v>
      </c>
      <c r="C24" s="57"/>
      <c r="D24" s="80"/>
      <c r="E24" s="66"/>
      <c r="F24" s="66">
        <v>4000</v>
      </c>
      <c r="G24" s="81" t="s">
        <v>152</v>
      </c>
      <c r="H24" s="40"/>
      <c r="J24" s="74">
        <f>INDEX(MASTER!$C$25:$F$42,MATCH($G24,allocation,0),MATCH(J$21,MASTER!$C$24:$F$24,0))</f>
        <v>0.39</v>
      </c>
      <c r="K24" s="74">
        <f>INDEX(MASTER!$C$25:$F$42,MATCH($G24,allocation,0),MATCH(K$21,MASTER!$C$24:$F$24,0))</f>
        <v>0.4</v>
      </c>
      <c r="L24" s="74">
        <f>INDEX(MASTER!$C$25:$F$42,MATCH($G24,allocation,0),MATCH(L$21,MASTER!$C$24:$F$24,0))</f>
        <v>0.19</v>
      </c>
      <c r="M24" s="74">
        <f>INDEX(MASTER!$C$25:$F$42,MATCH($G24,allocation,0),MATCH(M$21,MASTER!$C$24:$F$24,0))</f>
        <v>0.02</v>
      </c>
    </row>
    <row r="25" spans="2:13" s="5" customFormat="1" ht="14.1" customHeight="1">
      <c r="B25" s="5" t="s">
        <v>195</v>
      </c>
      <c r="C25" s="57"/>
      <c r="D25" s="80"/>
      <c r="E25" s="66"/>
      <c r="F25" s="66">
        <v>4000</v>
      </c>
      <c r="G25" s="81" t="s">
        <v>152</v>
      </c>
      <c r="H25" s="40"/>
      <c r="J25" s="74">
        <f>INDEX(MASTER!$C$25:$F$42,MATCH($G25,allocation,0),MATCH(J$21,MASTER!$C$24:$F$24,0))</f>
        <v>0.39</v>
      </c>
      <c r="K25" s="74">
        <f>INDEX(MASTER!$C$25:$F$42,MATCH($G25,allocation,0),MATCH(K$21,MASTER!$C$24:$F$24,0))</f>
        <v>0.4</v>
      </c>
      <c r="L25" s="74">
        <f>INDEX(MASTER!$C$25:$F$42,MATCH($G25,allocation,0),MATCH(L$21,MASTER!$C$24:$F$24,0))</f>
        <v>0.19</v>
      </c>
      <c r="M25" s="74">
        <f>INDEX(MASTER!$C$25:$F$42,MATCH($G25,allocation,0),MATCH(M$21,MASTER!$C$24:$F$24,0))</f>
        <v>0.02</v>
      </c>
    </row>
    <row r="26" spans="2:13" s="5" customFormat="1" ht="14.1" customHeight="1" thickBot="1">
      <c r="B26" s="49" t="s">
        <v>10</v>
      </c>
      <c r="C26" s="49"/>
      <c r="D26" s="49"/>
      <c r="E26" s="49"/>
      <c r="F26" s="50">
        <f>SUM(F22:F25)</f>
        <v>18000</v>
      </c>
      <c r="G26" s="49"/>
      <c r="H26" s="40"/>
    </row>
    <row r="27" spans="2:13" s="5" customFormat="1" ht="14.1" customHeight="1" thickTop="1">
      <c r="B27" s="40"/>
      <c r="C27" s="41"/>
      <c r="G27" s="40"/>
      <c r="H27" s="40"/>
    </row>
    <row r="28" spans="2:13" s="5" customFormat="1" ht="14.1" customHeight="1">
      <c r="B28" s="41" t="s">
        <v>11</v>
      </c>
      <c r="C28" s="35">
        <f>ROUNDUP($F$26,-$B$29)</f>
        <v>18000</v>
      </c>
      <c r="F28" s="40"/>
      <c r="G28" s="40"/>
      <c r="H28" s="40"/>
    </row>
    <row r="29" spans="2:13" s="5" customFormat="1" ht="14.1" customHeight="1">
      <c r="B29" s="51">
        <v>2</v>
      </c>
      <c r="C29" s="41"/>
      <c r="D29" s="40"/>
      <c r="E29" s="40"/>
      <c r="F29" s="40"/>
      <c r="G29" s="40"/>
      <c r="H29" s="40"/>
    </row>
    <row r="30" spans="2:13" s="5" customFormat="1" ht="14.1" customHeight="1">
      <c r="B30" s="40"/>
      <c r="C30" s="41"/>
      <c r="D30" s="40"/>
      <c r="E30" s="40"/>
      <c r="F30" s="40"/>
      <c r="G30" s="40"/>
      <c r="H30" s="40"/>
    </row>
    <row r="31" spans="2:13" s="5" customFormat="1" ht="14.1" customHeight="1">
      <c r="B31" s="40"/>
      <c r="C31" s="41"/>
      <c r="D31" s="40"/>
      <c r="E31" s="53" t="s">
        <v>12</v>
      </c>
      <c r="F31" s="54" t="s">
        <v>13</v>
      </c>
      <c r="G31" s="54" t="s">
        <v>14</v>
      </c>
      <c r="H31" s="55" t="s">
        <v>15</v>
      </c>
    </row>
    <row r="32" spans="2:13" s="5" customFormat="1" ht="14.1" customHeight="1">
      <c r="B32" s="36"/>
      <c r="C32" s="36"/>
      <c r="D32" s="36"/>
      <c r="E32" s="53" t="str">
        <f>"FY "&amp;MASTER!$B$4-1&amp;" - "&amp;MASTER!$B$4</f>
        <v>FY 2020 - 2021</v>
      </c>
      <c r="F32" s="56">
        <f>MASTER!$B$6</f>
        <v>44255</v>
      </c>
      <c r="G32" s="54" t="str">
        <f>"June "&amp;MASTER!$B$4</f>
        <v>June 2021</v>
      </c>
      <c r="H32" s="55" t="str">
        <f>"FY "&amp;MASTER!$B$4&amp;" - "&amp;MASTER!$B$5</f>
        <v>FY 2021 - 2022</v>
      </c>
    </row>
    <row r="33" spans="2:8" s="5" customFormat="1" ht="14.1" customHeight="1">
      <c r="B33" s="57"/>
      <c r="C33" s="57"/>
      <c r="D33" s="58"/>
      <c r="E33" s="59"/>
      <c r="F33" s="60"/>
      <c r="G33" s="60"/>
      <c r="H33" s="58"/>
    </row>
    <row r="34" spans="2:8" s="5" customFormat="1" ht="14.1" customHeight="1">
      <c r="B34" s="40" t="str">
        <f>$D$5</f>
        <v>Employee Education</v>
      </c>
      <c r="C34" s="41"/>
      <c r="D34" s="58"/>
      <c r="E34" s="61">
        <v>22000</v>
      </c>
      <c r="F34" s="62">
        <v>7000</v>
      </c>
      <c r="G34" s="62">
        <v>12000</v>
      </c>
      <c r="H34" s="63">
        <f>$C$28</f>
        <v>18000</v>
      </c>
    </row>
    <row r="35" spans="2:8" s="5" customFormat="1" ht="14.1" customHeight="1">
      <c r="B35" s="40"/>
      <c r="C35" s="41"/>
      <c r="D35" s="58"/>
      <c r="E35" s="59"/>
      <c r="F35" s="59"/>
      <c r="G35" s="58"/>
      <c r="H35" s="82"/>
    </row>
    <row r="36" spans="2:8" s="5" customFormat="1" ht="14.1" customHeight="1">
      <c r="B36" s="40"/>
      <c r="C36" s="41"/>
      <c r="D36" s="58"/>
      <c r="E36" s="58"/>
      <c r="F36" s="58"/>
      <c r="G36" s="58"/>
      <c r="H36" s="63"/>
    </row>
    <row r="37" spans="2:8" s="5" customFormat="1" ht="14.1" customHeight="1">
      <c r="B37" s="2"/>
      <c r="C37" s="1"/>
    </row>
    <row r="38" spans="2:8" s="5" customFormat="1" ht="14.1" customHeight="1">
      <c r="B38" s="36" t="s">
        <v>39</v>
      </c>
      <c r="C38" s="36"/>
      <c r="D38" s="55" t="s">
        <v>40</v>
      </c>
      <c r="E38" s="55" t="s">
        <v>41</v>
      </c>
    </row>
    <row r="39" spans="2:8" s="5" customFormat="1" ht="14.1" customHeight="1">
      <c r="B39" s="75" t="s">
        <v>32</v>
      </c>
      <c r="C39" s="84">
        <f>E39/E43</f>
        <v>0.39</v>
      </c>
      <c r="D39" s="78">
        <f>SUMPRODUCT($F$22:$F$25,$J$22:$J$25)</f>
        <v>7020</v>
      </c>
      <c r="E39" s="78">
        <f>$D39+($C$28-SUM($D$39:$D$42))*($D39/$D$43)</f>
        <v>7020</v>
      </c>
    </row>
    <row r="40" spans="2:8" s="5" customFormat="1" ht="14.1" customHeight="1">
      <c r="B40" s="75" t="s">
        <v>33</v>
      </c>
      <c r="C40" s="84">
        <f>E40/E43</f>
        <v>0.4</v>
      </c>
      <c r="D40" s="78">
        <f>SUMPRODUCT($F$22:$F$25,$K$22:$K$25)</f>
        <v>7200</v>
      </c>
      <c r="E40" s="78">
        <f>$D40+($C$28-SUM($D$39:$D$42))*($D40/$D$43)</f>
        <v>7200</v>
      </c>
    </row>
    <row r="41" spans="2:8" s="5" customFormat="1" ht="14.1" customHeight="1">
      <c r="B41" s="75" t="s">
        <v>34</v>
      </c>
      <c r="C41" s="84">
        <f>E41/E43</f>
        <v>0.19</v>
      </c>
      <c r="D41" s="78">
        <f>SUMPRODUCT($F$22:$F$25,$L$22:$L$25)</f>
        <v>3420</v>
      </c>
      <c r="E41" s="78">
        <f>$D41+($C$28-SUM($D$39:$D$42))*($D41/$D$43)</f>
        <v>3420</v>
      </c>
    </row>
    <row r="42" spans="2:8" s="5" customFormat="1" ht="14.1" customHeight="1">
      <c r="B42" s="75" t="s">
        <v>35</v>
      </c>
      <c r="C42" s="84">
        <f>E42/E43</f>
        <v>0.02</v>
      </c>
      <c r="D42" s="78">
        <f>SUMPRODUCT($F$22:$F$25,$M$22:$M$25)</f>
        <v>360</v>
      </c>
      <c r="E42" s="78">
        <f>$D42+($C$28-SUM($D$39:$D$42))*($D42/$D$43)</f>
        <v>360</v>
      </c>
    </row>
    <row r="43" spans="2:8" s="5" customFormat="1" ht="12.75" customHeight="1">
      <c r="B43" s="77" t="s">
        <v>10</v>
      </c>
      <c r="C43" s="85">
        <f>SUM(C39:C42)</f>
        <v>1</v>
      </c>
      <c r="D43" s="79">
        <f>SUM(D39:D42)</f>
        <v>18000</v>
      </c>
      <c r="E43" s="79">
        <f>SUM(E39:E42)</f>
        <v>18000</v>
      </c>
    </row>
    <row r="44" spans="2:8" s="5" customFormat="1" ht="12.75" customHeight="1">
      <c r="B44" s="2"/>
      <c r="C44" s="2"/>
      <c r="D44" s="2"/>
      <c r="E44" s="76"/>
    </row>
    <row r="45" spans="2:8" s="5" customFormat="1" ht="12.75" customHeight="1">
      <c r="E45" s="20"/>
      <c r="F45" s="6"/>
    </row>
    <row r="46" spans="2:8" s="5" customFormat="1" ht="12.75" customHeight="1">
      <c r="E46" s="20"/>
    </row>
    <row r="47" spans="2:8" s="5" customFormat="1" ht="12.75" customHeight="1">
      <c r="D47" s="21"/>
      <c r="E47" s="20"/>
    </row>
    <row r="48" spans="2:8" s="5" customFormat="1" ht="12.75" customHeight="1">
      <c r="D48" s="21"/>
      <c r="E48" s="20"/>
    </row>
    <row r="49" spans="4:253" s="5" customFormat="1" ht="12.75" customHeight="1">
      <c r="E49" s="20"/>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row>
    <row r="50" spans="4:253" s="5" customFormat="1" ht="12.75" customHeight="1">
      <c r="D50" s="21"/>
      <c r="E50" s="20"/>
    </row>
    <row r="51" spans="4:253" s="5" customFormat="1" ht="12.75" customHeight="1">
      <c r="E51" s="20"/>
    </row>
    <row r="52" spans="4:253" ht="12.75" customHeight="1">
      <c r="E52" s="20"/>
    </row>
    <row r="53" spans="4:253" ht="12.75" customHeight="1">
      <c r="E53" s="4"/>
    </row>
    <row r="54" spans="4:253">
      <c r="E54" s="3"/>
    </row>
    <row r="66" spans="4:5">
      <c r="D66" s="3"/>
      <c r="E66" s="3"/>
    </row>
  </sheetData>
  <mergeCells count="4">
    <mergeCell ref="E4:F4"/>
    <mergeCell ref="D5:G5"/>
    <mergeCell ref="B13:H14"/>
    <mergeCell ref="B17:H17"/>
  </mergeCells>
  <dataValidations count="2">
    <dataValidation type="list" allowBlank="1" showInputMessage="1" showErrorMessage="1" sqref="E4" xr:uid="{00000000-0002-0000-2400-000000000000}">
      <formula1>enterprise</formula1>
    </dataValidation>
    <dataValidation type="list" allowBlank="1" showInputMessage="1" showErrorMessage="1" sqref="G22:G25" xr:uid="{00000000-0002-0000-2400-000001000000}">
      <formula1>allocation</formula1>
    </dataValidation>
  </dataValidations>
  <pageMargins left="0.7" right="0.7" top="0.75" bottom="0.75" header="0.3" footer="0.3"/>
  <pageSetup scale="94"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pageSetUpPr fitToPage="1"/>
  </sheetPr>
  <dimension ref="B2:IS63"/>
  <sheetViews>
    <sheetView workbookViewId="0">
      <selection activeCell="H33" sqref="H33"/>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E31</f>
        <v>9000</v>
      </c>
      <c r="K2" s="120">
        <f t="shared" ref="K2:M2" si="0">F31</f>
        <v>3000</v>
      </c>
      <c r="L2" s="120">
        <f t="shared" si="0"/>
        <v>7000</v>
      </c>
      <c r="M2" s="120">
        <f t="shared" si="0"/>
        <v>10000</v>
      </c>
    </row>
    <row r="3" spans="2:13" ht="14.1" customHeight="1">
      <c r="B3" s="40"/>
      <c r="C3" s="40"/>
      <c r="D3" s="40"/>
      <c r="E3" s="40"/>
      <c r="F3" s="40"/>
      <c r="G3" s="40"/>
      <c r="H3" s="40"/>
      <c r="J3" s="121">
        <f>C36</f>
        <v>0.39</v>
      </c>
      <c r="K3" s="121"/>
      <c r="L3" s="121"/>
      <c r="M3" s="121"/>
    </row>
    <row r="4" spans="2:13" ht="23.25" customHeight="1">
      <c r="B4" s="40"/>
      <c r="C4" s="40"/>
      <c r="D4" s="40"/>
      <c r="E4" s="316" t="s">
        <v>118</v>
      </c>
      <c r="F4" s="316"/>
      <c r="G4" s="41"/>
      <c r="H4" s="40"/>
      <c r="J4" s="121">
        <f t="shared" ref="J4:J6" si="1">C37</f>
        <v>0.4</v>
      </c>
    </row>
    <row r="5" spans="2:13" ht="14.1" customHeight="1">
      <c r="B5" s="42"/>
      <c r="C5" s="42"/>
      <c r="D5" s="312" t="str">
        <f>'Operating Budget'!B63</f>
        <v>Regular Board Payments</v>
      </c>
      <c r="E5" s="312"/>
      <c r="F5" s="312"/>
      <c r="G5" s="312"/>
      <c r="H5" s="43"/>
      <c r="J5" s="121">
        <f t="shared" si="1"/>
        <v>0.19</v>
      </c>
    </row>
    <row r="6" spans="2:13" ht="19.5" customHeight="1">
      <c r="B6" s="40"/>
      <c r="C6" s="40"/>
      <c r="D6" s="40"/>
      <c r="E6" s="40"/>
      <c r="H6" s="40"/>
      <c r="J6" s="121">
        <f t="shared" si="1"/>
        <v>0.02</v>
      </c>
    </row>
    <row r="7" spans="2:13" ht="14.1" hidden="1" customHeight="1">
      <c r="B7" s="40"/>
      <c r="C7" s="40"/>
      <c r="D7" s="40"/>
      <c r="E7" s="40"/>
      <c r="F7" s="44"/>
      <c r="G7" s="44"/>
      <c r="H7" s="40"/>
    </row>
    <row r="8" spans="2:13" ht="14.1" customHeight="1">
      <c r="B8" s="41" t="s">
        <v>2</v>
      </c>
      <c r="C8" s="40">
        <f>'Operating Budget'!C63</f>
        <v>5010</v>
      </c>
      <c r="D8" s="40"/>
      <c r="E8" s="40"/>
      <c r="F8" s="40"/>
      <c r="G8" s="40"/>
      <c r="H8" s="40"/>
    </row>
    <row r="9" spans="2:13" ht="14.1" customHeight="1">
      <c r="B9" s="41" t="s">
        <v>3</v>
      </c>
      <c r="C9" s="40">
        <f>INDEX('Operating Budget'!$A$11:$A$107,MATCH('31'!C8,'Operating Budget'!C11:C107))</f>
        <v>31</v>
      </c>
      <c r="D9" s="40"/>
      <c r="E9" s="40"/>
      <c r="F9" s="40"/>
      <c r="G9" s="40"/>
      <c r="H9" s="40"/>
    </row>
    <row r="10" spans="2:13" ht="14.1" customHeight="1">
      <c r="B10" s="40"/>
      <c r="C10" s="40"/>
      <c r="D10" s="40"/>
      <c r="E10" s="40"/>
      <c r="F10" s="40"/>
      <c r="G10" s="40"/>
      <c r="H10" s="202"/>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196</v>
      </c>
      <c r="C13" s="319"/>
      <c r="D13" s="319"/>
      <c r="E13" s="319"/>
      <c r="F13" s="319"/>
      <c r="G13" s="319"/>
      <c r="H13" s="319"/>
    </row>
    <row r="14" spans="2:13" ht="14.1" hidden="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t="s">
        <v>197</v>
      </c>
      <c r="C17" s="319"/>
      <c r="D17" s="319"/>
      <c r="E17" s="319"/>
      <c r="F17" s="319"/>
      <c r="G17" s="319"/>
      <c r="H17" s="319"/>
    </row>
    <row r="18" spans="2:13" ht="14.1" customHeight="1">
      <c r="B18" s="310"/>
      <c r="C18" s="310"/>
      <c r="D18" s="310"/>
      <c r="E18" s="310"/>
      <c r="F18" s="310"/>
      <c r="G18" s="310"/>
      <c r="H18" s="310"/>
    </row>
    <row r="19" spans="2:13" s="5" customFormat="1" ht="14.1" customHeight="1">
      <c r="B19" s="36" t="s">
        <v>7</v>
      </c>
      <c r="C19" s="37"/>
      <c r="D19" s="37"/>
      <c r="E19" s="37"/>
      <c r="F19" s="37"/>
      <c r="G19" s="37"/>
      <c r="H19" s="38"/>
    </row>
    <row r="20" spans="2:13" s="5" customFormat="1" ht="14.1" customHeight="1">
      <c r="B20" s="40"/>
      <c r="C20" s="41"/>
      <c r="D20" s="40"/>
      <c r="E20" s="40"/>
      <c r="F20" s="40"/>
      <c r="G20" s="40"/>
      <c r="H20" s="40"/>
    </row>
    <row r="21" spans="2:13" s="5" customFormat="1" ht="14.1" customHeight="1">
      <c r="B21" s="67" t="str">
        <f>$D$5</f>
        <v>Regular Board Payments</v>
      </c>
      <c r="C21" s="67"/>
      <c r="D21" s="68"/>
      <c r="E21" s="68"/>
      <c r="F21" s="68" t="s">
        <v>10</v>
      </c>
      <c r="G21" s="69" t="s">
        <v>31</v>
      </c>
      <c r="H21" s="40"/>
      <c r="J21" s="73" t="s">
        <v>32</v>
      </c>
      <c r="K21" s="73" t="s">
        <v>33</v>
      </c>
      <c r="L21" s="73" t="s">
        <v>34</v>
      </c>
      <c r="M21" s="73" t="s">
        <v>35</v>
      </c>
    </row>
    <row r="22" spans="2:13" s="5" customFormat="1" ht="14.1" customHeight="1">
      <c r="B22" s="64" t="s">
        <v>198</v>
      </c>
      <c r="C22" s="57"/>
      <c r="D22" s="80"/>
      <c r="E22" s="66"/>
      <c r="F22" s="66">
        <v>10000</v>
      </c>
      <c r="G22" s="71" t="s">
        <v>152</v>
      </c>
      <c r="H22" s="40"/>
      <c r="J22" s="74">
        <f>INDEX(MASTER!$C$25:$F$42,MATCH($G22,allocation,0),MATCH(J$21,MASTER!$C$24:$F$24,0))</f>
        <v>0.39</v>
      </c>
      <c r="K22" s="74">
        <f>INDEX(MASTER!$C$25:$F$42,MATCH($G22,allocation,0),MATCH(K$21,MASTER!$C$24:$F$24,0))</f>
        <v>0.4</v>
      </c>
      <c r="L22" s="74">
        <f>INDEX(MASTER!$C$25:$F$42,MATCH($G22,allocation,0),MATCH(L$21,MASTER!$C$24:$F$24,0))</f>
        <v>0.19</v>
      </c>
      <c r="M22" s="74">
        <f>INDEX(MASTER!$C$25:$F$42,MATCH($G22,allocation,0),MATCH(M$21,MASTER!$C$24:$F$24,0))</f>
        <v>0.02</v>
      </c>
    </row>
    <row r="23" spans="2:13" s="5" customFormat="1" ht="14.1" customHeight="1" thickBot="1">
      <c r="B23" s="49" t="s">
        <v>10</v>
      </c>
      <c r="C23" s="49"/>
      <c r="D23" s="49"/>
      <c r="E23" s="49"/>
      <c r="F23" s="50">
        <f>SUM(F22:F22)</f>
        <v>10000</v>
      </c>
      <c r="G23" s="49"/>
      <c r="H23" s="40"/>
    </row>
    <row r="24" spans="2:13" s="5" customFormat="1" ht="14.1" customHeight="1" thickTop="1">
      <c r="B24" s="40"/>
      <c r="C24" s="41"/>
      <c r="G24" s="40"/>
      <c r="H24" s="40"/>
    </row>
    <row r="25" spans="2:13" s="5" customFormat="1" ht="14.1" customHeight="1">
      <c r="B25" s="41" t="s">
        <v>11</v>
      </c>
      <c r="C25" s="35">
        <f>ROUNDUP($F$23,-$B$26)</f>
        <v>10000</v>
      </c>
      <c r="F25" s="40"/>
      <c r="G25" s="40"/>
      <c r="H25" s="40"/>
    </row>
    <row r="26" spans="2:13" s="5" customFormat="1" ht="14.1" customHeight="1">
      <c r="B26" s="51">
        <v>1</v>
      </c>
      <c r="C26" s="41"/>
      <c r="D26" s="40"/>
      <c r="E26" s="40"/>
      <c r="F26" s="40"/>
      <c r="G26" s="40"/>
      <c r="H26" s="40"/>
    </row>
    <row r="27" spans="2:13" s="5" customFormat="1" ht="14.1" customHeight="1">
      <c r="B27" s="40"/>
      <c r="C27" s="41"/>
      <c r="D27" s="40"/>
      <c r="E27" s="40"/>
      <c r="F27" s="40"/>
      <c r="G27" s="40"/>
      <c r="H27" s="40"/>
    </row>
    <row r="28" spans="2:13" s="5" customFormat="1" ht="14.1" customHeight="1">
      <c r="B28" s="40"/>
      <c r="C28" s="41"/>
      <c r="D28" s="40"/>
      <c r="E28" s="53" t="s">
        <v>12</v>
      </c>
      <c r="F28" s="54" t="s">
        <v>13</v>
      </c>
      <c r="G28" s="54" t="s">
        <v>14</v>
      </c>
      <c r="H28" s="55" t="s">
        <v>15</v>
      </c>
    </row>
    <row r="29" spans="2:13" s="5" customFormat="1" ht="14.1" customHeight="1">
      <c r="B29" s="36"/>
      <c r="C29" s="36"/>
      <c r="D29" s="36"/>
      <c r="E29" s="53" t="str">
        <f>"FY "&amp;MASTER!$B$4-1&amp;" - "&amp;MASTER!$B$4</f>
        <v>FY 2020 - 2021</v>
      </c>
      <c r="F29" s="56">
        <f>MASTER!$B$6</f>
        <v>44255</v>
      </c>
      <c r="G29" s="54" t="str">
        <f>"June "&amp;MASTER!$B$4</f>
        <v>June 2021</v>
      </c>
      <c r="H29" s="55" t="str">
        <f>"FY "&amp;MASTER!$B$4&amp;" - "&amp;MASTER!$B$5</f>
        <v>FY 2021 - 2022</v>
      </c>
    </row>
    <row r="30" spans="2:13" s="5" customFormat="1" ht="14.1" customHeight="1">
      <c r="B30" s="57"/>
      <c r="C30" s="57"/>
      <c r="D30" s="58"/>
      <c r="E30" s="59"/>
      <c r="F30" s="60"/>
      <c r="G30" s="60"/>
      <c r="H30" s="58"/>
    </row>
    <row r="31" spans="2:13" s="5" customFormat="1" ht="14.1" customHeight="1">
      <c r="B31" s="40" t="str">
        <f>$D$5</f>
        <v>Regular Board Payments</v>
      </c>
      <c r="C31" s="41"/>
      <c r="D31" s="58"/>
      <c r="E31" s="61">
        <v>9000</v>
      </c>
      <c r="F31" s="62">
        <v>3000</v>
      </c>
      <c r="G31" s="62">
        <v>7000</v>
      </c>
      <c r="H31" s="63">
        <f>$C$25</f>
        <v>10000</v>
      </c>
    </row>
    <row r="32" spans="2:13" s="5" customFormat="1" ht="14.1" customHeight="1">
      <c r="B32" s="40"/>
      <c r="C32" s="41"/>
      <c r="D32" s="58"/>
      <c r="E32" s="59"/>
      <c r="F32" s="59"/>
      <c r="G32" s="58"/>
      <c r="H32" s="82"/>
    </row>
    <row r="33" spans="2:253" s="5" customFormat="1" ht="14.1" customHeight="1">
      <c r="B33" s="40"/>
      <c r="C33" s="41"/>
      <c r="D33" s="58"/>
      <c r="E33" s="58"/>
      <c r="F33" s="58"/>
      <c r="G33" s="58"/>
      <c r="H33" s="63"/>
    </row>
    <row r="34" spans="2:253" s="5" customFormat="1" ht="14.1" customHeight="1">
      <c r="B34" s="2"/>
      <c r="C34" s="1"/>
    </row>
    <row r="35" spans="2:253" s="5" customFormat="1" ht="14.1" customHeight="1">
      <c r="B35" s="36" t="s">
        <v>39</v>
      </c>
      <c r="C35" s="36"/>
      <c r="D35" s="55" t="s">
        <v>40</v>
      </c>
      <c r="E35" s="55" t="s">
        <v>41</v>
      </c>
    </row>
    <row r="36" spans="2:253" s="5" customFormat="1" ht="14.1" customHeight="1">
      <c r="B36" s="75" t="s">
        <v>32</v>
      </c>
      <c r="C36" s="84">
        <f>E36/E40</f>
        <v>0.39</v>
      </c>
      <c r="D36" s="78">
        <f>SUMPRODUCT($F$22:$F$22,$J$22:$J$22)</f>
        <v>3900</v>
      </c>
      <c r="E36" s="78">
        <f>$D36+($C$25-SUM($D$36:$D$39))*($D36/$D$40)</f>
        <v>3900</v>
      </c>
    </row>
    <row r="37" spans="2:253" s="5" customFormat="1" ht="14.1" customHeight="1">
      <c r="B37" s="75" t="s">
        <v>33</v>
      </c>
      <c r="C37" s="84">
        <f>E37/E40</f>
        <v>0.4</v>
      </c>
      <c r="D37" s="78">
        <f>SUMPRODUCT($F$22:$F$22,$K$22:$K$22)</f>
        <v>4000</v>
      </c>
      <c r="E37" s="78">
        <f>$D37+($C$25-SUM($D$36:$D$39))*($D37/$D$40)</f>
        <v>4000</v>
      </c>
    </row>
    <row r="38" spans="2:253" s="5" customFormat="1" ht="14.1" customHeight="1">
      <c r="B38" s="75" t="s">
        <v>34</v>
      </c>
      <c r="C38" s="84">
        <f>E38/E40</f>
        <v>0.19</v>
      </c>
      <c r="D38" s="78">
        <f>SUMPRODUCT($F$22:$F$22,$L$22:$L$22)</f>
        <v>1900</v>
      </c>
      <c r="E38" s="78">
        <f>$D38+($C$25-SUM($D$36:$D$39))*($D38/$D$40)</f>
        <v>1900</v>
      </c>
    </row>
    <row r="39" spans="2:253" s="5" customFormat="1" ht="14.1" customHeight="1">
      <c r="B39" s="75" t="s">
        <v>35</v>
      </c>
      <c r="C39" s="84">
        <f>E39/E40</f>
        <v>0.02</v>
      </c>
      <c r="D39" s="78">
        <f>SUMPRODUCT($F$22:$F$22,$M$22:$M$22)</f>
        <v>200</v>
      </c>
      <c r="E39" s="78">
        <f>$D39+($C$25-SUM($D$36:$D$39))*($D39/$D$40)</f>
        <v>200</v>
      </c>
    </row>
    <row r="40" spans="2:253" s="5" customFormat="1" ht="12.75" customHeight="1">
      <c r="B40" s="77" t="s">
        <v>10</v>
      </c>
      <c r="C40" s="85">
        <f>SUM(C36:C39)</f>
        <v>1</v>
      </c>
      <c r="D40" s="79">
        <f>SUM(D36:D39)</f>
        <v>10000</v>
      </c>
      <c r="E40" s="79">
        <f>SUM(E36:E39)</f>
        <v>10000</v>
      </c>
    </row>
    <row r="41" spans="2:253" s="5" customFormat="1" ht="12.75" customHeight="1">
      <c r="B41" s="2"/>
      <c r="C41" s="2"/>
      <c r="D41" s="2"/>
      <c r="E41" s="76"/>
    </row>
    <row r="42" spans="2:253" s="5" customFormat="1" ht="12.75" customHeight="1">
      <c r="E42" s="20"/>
      <c r="F42" s="6"/>
    </row>
    <row r="43" spans="2:253" s="5" customFormat="1" ht="12.75" customHeight="1">
      <c r="E43" s="20"/>
    </row>
    <row r="44" spans="2:253" s="5" customFormat="1" ht="12.75" customHeight="1">
      <c r="D44" s="21"/>
      <c r="E44" s="20"/>
    </row>
    <row r="45" spans="2:253" s="5" customFormat="1" ht="12.75" customHeight="1">
      <c r="D45" s="21"/>
      <c r="E45" s="20"/>
    </row>
    <row r="46" spans="2:253" s="5" customFormat="1" ht="12.75" customHeight="1">
      <c r="E46" s="20"/>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row>
    <row r="47" spans="2:253" s="5" customFormat="1" ht="12.75" customHeight="1">
      <c r="D47" s="21"/>
      <c r="E47" s="20"/>
    </row>
    <row r="48" spans="2:253" s="5" customFormat="1" ht="12.75" customHeight="1">
      <c r="E48" s="20"/>
    </row>
    <row r="49" spans="4:5" ht="12.75" customHeight="1">
      <c r="E49" s="20"/>
    </row>
    <row r="50" spans="4:5" ht="12.75" customHeight="1">
      <c r="E50" s="4"/>
    </row>
    <row r="51" spans="4:5">
      <c r="E51" s="3"/>
    </row>
    <row r="63" spans="4:5">
      <c r="D63" s="3"/>
      <c r="E63" s="3"/>
    </row>
  </sheetData>
  <mergeCells count="4">
    <mergeCell ref="E4:F4"/>
    <mergeCell ref="D5:G5"/>
    <mergeCell ref="B13:H14"/>
    <mergeCell ref="B17:H17"/>
  </mergeCells>
  <dataValidations count="2">
    <dataValidation type="list" allowBlank="1" showInputMessage="1" showErrorMessage="1" sqref="E4" xr:uid="{00000000-0002-0000-2500-000000000000}">
      <formula1>enterprise</formula1>
    </dataValidation>
    <dataValidation type="list" allowBlank="1" showInputMessage="1" showErrorMessage="1" sqref="G22" xr:uid="{00000000-0002-0000-2500-000001000000}">
      <formula1>allocation</formula1>
    </dataValidation>
  </dataValidations>
  <pageMargins left="0.7" right="0.7" top="0.75" bottom="0.75" header="0.3" footer="0.3"/>
  <pageSetup scale="94"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pageSetUpPr fitToPage="1"/>
  </sheetPr>
  <dimension ref="B2:IS63"/>
  <sheetViews>
    <sheetView workbookViewId="0">
      <selection activeCell="H32" sqref="H32"/>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E31</f>
        <v>2000</v>
      </c>
      <c r="K2" s="120">
        <f t="shared" ref="K2:M2" si="0">F31</f>
        <v>900</v>
      </c>
      <c r="L2" s="120">
        <f t="shared" si="0"/>
        <v>2000</v>
      </c>
      <c r="M2" s="120">
        <f t="shared" si="0"/>
        <v>3000</v>
      </c>
    </row>
    <row r="3" spans="2:13" ht="14.1" customHeight="1">
      <c r="B3" s="40"/>
      <c r="C3" s="40"/>
      <c r="D3" s="40"/>
      <c r="E3" s="40"/>
      <c r="F3" s="40"/>
      <c r="G3" s="40"/>
      <c r="H3" s="40"/>
      <c r="J3" s="121">
        <f>C36</f>
        <v>0.39</v>
      </c>
      <c r="K3" s="121"/>
      <c r="L3" s="121"/>
      <c r="M3" s="121"/>
    </row>
    <row r="4" spans="2:13" ht="23.25" customHeight="1">
      <c r="B4" s="40"/>
      <c r="C4" s="40"/>
      <c r="D4" s="40"/>
      <c r="E4" s="316" t="s">
        <v>118</v>
      </c>
      <c r="F4" s="316"/>
      <c r="G4" s="41"/>
      <c r="H4" s="40"/>
      <c r="J4" s="121">
        <f t="shared" ref="J4:J6" si="1">C37</f>
        <v>0.4</v>
      </c>
    </row>
    <row r="5" spans="2:13" ht="14.1" customHeight="1">
      <c r="B5" s="42"/>
      <c r="C5" s="42"/>
      <c r="D5" s="312" t="str">
        <f>'Operating Budget'!B64</f>
        <v>Special Board Meetings</v>
      </c>
      <c r="E5" s="312"/>
      <c r="F5" s="312"/>
      <c r="G5" s="312"/>
      <c r="H5" s="43"/>
      <c r="J5" s="121">
        <f t="shared" si="1"/>
        <v>0.19</v>
      </c>
    </row>
    <row r="6" spans="2:13" ht="19.5" customHeight="1">
      <c r="B6" s="40"/>
      <c r="C6" s="40"/>
      <c r="D6" s="40"/>
      <c r="E6" s="40"/>
      <c r="H6" s="40"/>
      <c r="J6" s="121">
        <f t="shared" si="1"/>
        <v>0.02</v>
      </c>
    </row>
    <row r="7" spans="2:13" ht="14.1" hidden="1" customHeight="1">
      <c r="B7" s="40"/>
      <c r="C7" s="40"/>
      <c r="D7" s="40"/>
      <c r="E7" s="40"/>
      <c r="F7" s="44"/>
      <c r="G7" s="44"/>
      <c r="H7" s="40"/>
    </row>
    <row r="8" spans="2:13" ht="14.1" customHeight="1">
      <c r="B8" s="41" t="s">
        <v>2</v>
      </c>
      <c r="C8" s="40">
        <f>'Operating Budget'!C64</f>
        <v>5020</v>
      </c>
      <c r="D8" s="40"/>
      <c r="E8" s="40"/>
      <c r="F8" s="40"/>
      <c r="G8" s="40"/>
      <c r="H8" s="40"/>
    </row>
    <row r="9" spans="2:13" ht="14.1" customHeight="1">
      <c r="B9" s="41" t="s">
        <v>3</v>
      </c>
      <c r="C9" s="40">
        <f>INDEX('Operating Budget'!$A$11:$A$107,MATCH('32'!C8,'Operating Budget'!C11:C107))</f>
        <v>32</v>
      </c>
      <c r="D9" s="40"/>
      <c r="E9" s="40"/>
      <c r="F9" s="40"/>
      <c r="G9" s="40"/>
      <c r="H9" s="202"/>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199</v>
      </c>
      <c r="C13" s="319"/>
      <c r="D13" s="319"/>
      <c r="E13" s="319"/>
      <c r="F13" s="319"/>
      <c r="G13" s="319"/>
      <c r="H13" s="319"/>
    </row>
    <row r="14" spans="2:13" ht="14.1" hidden="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t="s">
        <v>197</v>
      </c>
      <c r="C17" s="319"/>
      <c r="D17" s="319"/>
      <c r="E17" s="319"/>
      <c r="F17" s="319"/>
      <c r="G17" s="319"/>
      <c r="H17" s="319"/>
    </row>
    <row r="18" spans="2:13" ht="14.1" customHeight="1">
      <c r="B18" s="310"/>
      <c r="C18" s="310"/>
      <c r="D18" s="310"/>
      <c r="E18" s="310"/>
      <c r="F18" s="310"/>
      <c r="G18" s="310"/>
      <c r="H18" s="310"/>
    </row>
    <row r="19" spans="2:13" s="5" customFormat="1" ht="14.1" customHeight="1">
      <c r="B19" s="36" t="s">
        <v>7</v>
      </c>
      <c r="C19" s="37"/>
      <c r="D19" s="37"/>
      <c r="E19" s="37"/>
      <c r="F19" s="37"/>
      <c r="G19" s="37"/>
      <c r="H19" s="38"/>
    </row>
    <row r="20" spans="2:13" s="5" customFormat="1" ht="14.1" customHeight="1">
      <c r="B20" s="40"/>
      <c r="C20" s="41"/>
      <c r="D20" s="40"/>
      <c r="E20" s="40"/>
      <c r="F20" s="40"/>
      <c r="G20" s="40"/>
      <c r="H20" s="40"/>
    </row>
    <row r="21" spans="2:13" s="5" customFormat="1" ht="14.1" customHeight="1">
      <c r="B21" s="67" t="str">
        <f>$D$5</f>
        <v>Special Board Meetings</v>
      </c>
      <c r="C21" s="67"/>
      <c r="D21" s="68"/>
      <c r="E21" s="68"/>
      <c r="F21" s="68" t="s">
        <v>10</v>
      </c>
      <c r="G21" s="69" t="s">
        <v>31</v>
      </c>
      <c r="H21" s="40"/>
      <c r="J21" s="73" t="s">
        <v>32</v>
      </c>
      <c r="K21" s="73" t="s">
        <v>33</v>
      </c>
      <c r="L21" s="73" t="s">
        <v>34</v>
      </c>
      <c r="M21" s="73" t="s">
        <v>35</v>
      </c>
    </row>
    <row r="22" spans="2:13" s="5" customFormat="1" ht="14.1" customHeight="1">
      <c r="B22" s="64" t="s">
        <v>198</v>
      </c>
      <c r="C22" s="57"/>
      <c r="D22" s="80"/>
      <c r="E22" s="66"/>
      <c r="F22" s="66">
        <v>3000</v>
      </c>
      <c r="G22" s="71" t="s">
        <v>152</v>
      </c>
      <c r="H22" s="40"/>
      <c r="J22" s="74">
        <f>INDEX(MASTER!$C$25:$F$42,MATCH($G22,allocation,0),MATCH(J$21,MASTER!$C$24:$F$24,0))</f>
        <v>0.39</v>
      </c>
      <c r="K22" s="74">
        <f>INDEX(MASTER!$C$25:$F$42,MATCH($G22,allocation,0),MATCH(K$21,MASTER!$C$24:$F$24,0))</f>
        <v>0.4</v>
      </c>
      <c r="L22" s="74">
        <f>INDEX(MASTER!$C$25:$F$42,MATCH($G22,allocation,0),MATCH(L$21,MASTER!$C$24:$F$24,0))</f>
        <v>0.19</v>
      </c>
      <c r="M22" s="74">
        <f>INDEX(MASTER!$C$25:$F$42,MATCH($G22,allocation,0),MATCH(M$21,MASTER!$C$24:$F$24,0))</f>
        <v>0.02</v>
      </c>
    </row>
    <row r="23" spans="2:13" s="5" customFormat="1" ht="14.1" customHeight="1" thickBot="1">
      <c r="B23" s="49" t="s">
        <v>10</v>
      </c>
      <c r="C23" s="49"/>
      <c r="D23" s="49"/>
      <c r="E23" s="49"/>
      <c r="F23" s="50">
        <f>SUM(F22:F22)</f>
        <v>3000</v>
      </c>
      <c r="G23" s="49"/>
      <c r="H23" s="40"/>
    </row>
    <row r="24" spans="2:13" s="5" customFormat="1" ht="14.1" customHeight="1" thickTop="1">
      <c r="B24" s="40"/>
      <c r="C24" s="41"/>
      <c r="G24" s="40"/>
      <c r="H24" s="40"/>
    </row>
    <row r="25" spans="2:13" s="5" customFormat="1" ht="14.1" customHeight="1">
      <c r="B25" s="41" t="s">
        <v>11</v>
      </c>
      <c r="C25" s="35">
        <f>ROUNDUP($F$23,-$B$26)</f>
        <v>3000</v>
      </c>
      <c r="F25" s="40"/>
      <c r="G25" s="40"/>
      <c r="H25" s="40"/>
    </row>
    <row r="26" spans="2:13" s="5" customFormat="1" ht="14.1" customHeight="1">
      <c r="B26" s="51">
        <v>1</v>
      </c>
      <c r="C26" s="41"/>
      <c r="D26" s="40"/>
      <c r="E26" s="40"/>
      <c r="F26" s="40"/>
      <c r="G26" s="40"/>
      <c r="H26" s="40"/>
    </row>
    <row r="27" spans="2:13" s="5" customFormat="1" ht="14.1" customHeight="1">
      <c r="B27" s="40"/>
      <c r="C27" s="41"/>
      <c r="D27" s="40"/>
      <c r="E27" s="40"/>
      <c r="F27" s="40"/>
      <c r="G27" s="40"/>
      <c r="H27" s="40"/>
    </row>
    <row r="28" spans="2:13" s="5" customFormat="1" ht="14.1" customHeight="1">
      <c r="B28" s="40"/>
      <c r="C28" s="41"/>
      <c r="D28" s="40"/>
      <c r="E28" s="53" t="s">
        <v>12</v>
      </c>
      <c r="F28" s="54" t="s">
        <v>13</v>
      </c>
      <c r="G28" s="54" t="s">
        <v>14</v>
      </c>
      <c r="H28" s="55" t="s">
        <v>15</v>
      </c>
    </row>
    <row r="29" spans="2:13" s="5" customFormat="1" ht="14.1" customHeight="1">
      <c r="B29" s="36"/>
      <c r="C29" s="36"/>
      <c r="D29" s="36"/>
      <c r="E29" s="53" t="str">
        <f>"FY "&amp;MASTER!$B$4-1&amp;" - "&amp;MASTER!$B$4</f>
        <v>FY 2020 - 2021</v>
      </c>
      <c r="F29" s="56">
        <f>MASTER!$B$6</f>
        <v>44255</v>
      </c>
      <c r="G29" s="54" t="str">
        <f>"June "&amp;MASTER!$B$4</f>
        <v>June 2021</v>
      </c>
      <c r="H29" s="55" t="str">
        <f>"FY "&amp;MASTER!$B$4&amp;" - "&amp;MASTER!$B$5</f>
        <v>FY 2021 - 2022</v>
      </c>
    </row>
    <row r="30" spans="2:13" s="5" customFormat="1" ht="14.1" customHeight="1">
      <c r="B30" s="57"/>
      <c r="C30" s="57"/>
      <c r="D30" s="58"/>
      <c r="E30" s="59"/>
      <c r="F30" s="60"/>
      <c r="G30" s="60"/>
      <c r="H30" s="58"/>
    </row>
    <row r="31" spans="2:13" s="5" customFormat="1" ht="14.1" customHeight="1">
      <c r="B31" s="40" t="str">
        <f>$D$5</f>
        <v>Special Board Meetings</v>
      </c>
      <c r="C31" s="41"/>
      <c r="D31" s="58"/>
      <c r="E31" s="61">
        <v>2000</v>
      </c>
      <c r="F31" s="62">
        <v>900</v>
      </c>
      <c r="G31" s="62">
        <v>2000</v>
      </c>
      <c r="H31" s="63">
        <f>$C$25</f>
        <v>3000</v>
      </c>
    </row>
    <row r="32" spans="2:13" s="5" customFormat="1" ht="14.1" customHeight="1">
      <c r="B32" s="40"/>
      <c r="C32" s="41"/>
      <c r="D32" s="58"/>
      <c r="E32" s="59"/>
      <c r="F32" s="59"/>
      <c r="G32" s="58"/>
      <c r="H32" s="82"/>
    </row>
    <row r="33" spans="2:253" s="5" customFormat="1" ht="14.1" customHeight="1">
      <c r="B33" s="40"/>
      <c r="C33" s="41"/>
      <c r="D33" s="58"/>
      <c r="E33" s="58"/>
      <c r="F33" s="58"/>
      <c r="G33" s="58"/>
      <c r="H33" s="63"/>
    </row>
    <row r="34" spans="2:253" s="5" customFormat="1" ht="14.1" customHeight="1">
      <c r="B34" s="2"/>
      <c r="C34" s="1"/>
    </row>
    <row r="35" spans="2:253" s="5" customFormat="1" ht="14.1" customHeight="1">
      <c r="B35" s="36" t="s">
        <v>39</v>
      </c>
      <c r="C35" s="36"/>
      <c r="D35" s="55" t="s">
        <v>40</v>
      </c>
      <c r="E35" s="55" t="s">
        <v>41</v>
      </c>
    </row>
    <row r="36" spans="2:253" s="5" customFormat="1" ht="14.1" customHeight="1">
      <c r="B36" s="75" t="s">
        <v>32</v>
      </c>
      <c r="C36" s="84">
        <f>E36/E40</f>
        <v>0.39</v>
      </c>
      <c r="D36" s="78">
        <f>SUMPRODUCT($F$22:$F$22,$J$22:$J$22)</f>
        <v>1170</v>
      </c>
      <c r="E36" s="78">
        <f>$D36+($C$25-SUM($D$36:$D$39))*($D36/$D$40)</f>
        <v>1170</v>
      </c>
    </row>
    <row r="37" spans="2:253" s="5" customFormat="1" ht="14.1" customHeight="1">
      <c r="B37" s="75" t="s">
        <v>33</v>
      </c>
      <c r="C37" s="84">
        <f>E37/E40</f>
        <v>0.4</v>
      </c>
      <c r="D37" s="78">
        <f>SUMPRODUCT($F$22:$F$22,$K$22:$K$22)</f>
        <v>1200</v>
      </c>
      <c r="E37" s="78">
        <f>$D37+($C$25-SUM($D$36:$D$39))*($D37/$D$40)</f>
        <v>1200</v>
      </c>
    </row>
    <row r="38" spans="2:253" s="5" customFormat="1" ht="14.1" customHeight="1">
      <c r="B38" s="75" t="s">
        <v>34</v>
      </c>
      <c r="C38" s="84">
        <f>E38/E40</f>
        <v>0.19</v>
      </c>
      <c r="D38" s="78">
        <f>SUMPRODUCT($F$22:$F$22,$L$22:$L$22)</f>
        <v>570</v>
      </c>
      <c r="E38" s="78">
        <f>$D38+($C$25-SUM($D$36:$D$39))*($D38/$D$40)</f>
        <v>570</v>
      </c>
    </row>
    <row r="39" spans="2:253" s="5" customFormat="1" ht="14.1" customHeight="1">
      <c r="B39" s="75" t="s">
        <v>35</v>
      </c>
      <c r="C39" s="84">
        <f>E39/E40</f>
        <v>0.02</v>
      </c>
      <c r="D39" s="78">
        <f>SUMPRODUCT($F$22:$F$22,$M$22:$M$22)</f>
        <v>60</v>
      </c>
      <c r="E39" s="78">
        <f>$D39+($C$25-SUM($D$36:$D$39))*($D39/$D$40)</f>
        <v>60</v>
      </c>
    </row>
    <row r="40" spans="2:253" s="5" customFormat="1" ht="12.75" customHeight="1">
      <c r="B40" s="77" t="s">
        <v>10</v>
      </c>
      <c r="C40" s="85">
        <f>SUM(C36:C39)</f>
        <v>1</v>
      </c>
      <c r="D40" s="79">
        <f>SUM(D36:D39)</f>
        <v>3000</v>
      </c>
      <c r="E40" s="79">
        <f>SUM(E36:E39)</f>
        <v>3000</v>
      </c>
    </row>
    <row r="41" spans="2:253" s="5" customFormat="1" ht="12.75" customHeight="1">
      <c r="B41" s="2"/>
      <c r="C41" s="2"/>
      <c r="D41" s="2"/>
      <c r="E41" s="76"/>
    </row>
    <row r="42" spans="2:253" s="5" customFormat="1" ht="12.75" customHeight="1">
      <c r="E42" s="20"/>
      <c r="F42" s="6"/>
    </row>
    <row r="43" spans="2:253" s="5" customFormat="1" ht="12.75" customHeight="1">
      <c r="E43" s="20"/>
    </row>
    <row r="44" spans="2:253" s="5" customFormat="1" ht="12.75" customHeight="1">
      <c r="D44" s="21"/>
      <c r="E44" s="20"/>
    </row>
    <row r="45" spans="2:253" s="5" customFormat="1" ht="12.75" customHeight="1">
      <c r="D45" s="21"/>
      <c r="E45" s="20"/>
    </row>
    <row r="46" spans="2:253" s="5" customFormat="1" ht="12.75" customHeight="1">
      <c r="E46" s="20"/>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row>
    <row r="47" spans="2:253" s="5" customFormat="1" ht="12.75" customHeight="1">
      <c r="D47" s="21"/>
      <c r="E47" s="20"/>
    </row>
    <row r="48" spans="2:253" s="5" customFormat="1" ht="12.75" customHeight="1">
      <c r="E48" s="20"/>
    </row>
    <row r="49" spans="4:5" ht="12.75" customHeight="1">
      <c r="E49" s="20"/>
    </row>
    <row r="50" spans="4:5" ht="12.75" customHeight="1">
      <c r="E50" s="4"/>
    </row>
    <row r="51" spans="4:5">
      <c r="E51" s="3"/>
    </row>
    <row r="63" spans="4:5">
      <c r="D63" s="3"/>
      <c r="E63" s="3"/>
    </row>
  </sheetData>
  <mergeCells count="4">
    <mergeCell ref="E4:F4"/>
    <mergeCell ref="D5:G5"/>
    <mergeCell ref="B13:H14"/>
    <mergeCell ref="B17:H17"/>
  </mergeCells>
  <dataValidations count="2">
    <dataValidation type="list" allowBlank="1" showInputMessage="1" showErrorMessage="1" sqref="G22" xr:uid="{00000000-0002-0000-2600-000000000000}">
      <formula1>allocation</formula1>
    </dataValidation>
    <dataValidation type="list" allowBlank="1" showInputMessage="1" showErrorMessage="1" sqref="E4" xr:uid="{00000000-0002-0000-2600-000001000000}">
      <formula1>enterprise</formula1>
    </dataValidation>
  </dataValidations>
  <pageMargins left="0.7" right="0.7" top="0.75" bottom="0.75" header="0.3" footer="0.3"/>
  <pageSetup scale="94"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pageSetUpPr fitToPage="1"/>
  </sheetPr>
  <dimension ref="B2:IS63"/>
  <sheetViews>
    <sheetView topLeftCell="B1" workbookViewId="0">
      <selection activeCell="H32" sqref="H32"/>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E31</f>
        <v>1000</v>
      </c>
      <c r="K2" s="120">
        <f t="shared" ref="K2:M2" si="0">F31</f>
        <v>80</v>
      </c>
      <c r="L2" s="120">
        <f t="shared" si="0"/>
        <v>1000</v>
      </c>
      <c r="M2" s="120">
        <f t="shared" si="0"/>
        <v>2000</v>
      </c>
    </row>
    <row r="3" spans="2:13" ht="14.1" customHeight="1">
      <c r="B3" s="40"/>
      <c r="C3" s="40"/>
      <c r="D3" s="40"/>
      <c r="E3" s="40"/>
      <c r="F3" s="40"/>
      <c r="G3" s="40"/>
      <c r="H3" s="40"/>
      <c r="J3" s="121">
        <f>C36</f>
        <v>0.39</v>
      </c>
      <c r="K3" s="121"/>
      <c r="L3" s="121"/>
      <c r="M3" s="121"/>
    </row>
    <row r="4" spans="2:13" ht="23.25" customHeight="1">
      <c r="B4" s="40"/>
      <c r="C4" s="40"/>
      <c r="D4" s="40"/>
      <c r="E4" s="316" t="s">
        <v>118</v>
      </c>
      <c r="F4" s="316"/>
      <c r="G4" s="41"/>
      <c r="H4" s="40"/>
      <c r="J4" s="121">
        <f t="shared" ref="J4:J6" si="1">C37</f>
        <v>0.4</v>
      </c>
    </row>
    <row r="5" spans="2:13" ht="14.1" customHeight="1">
      <c r="B5" s="42"/>
      <c r="C5" s="42"/>
      <c r="D5" s="312" t="str">
        <f>'Operating Budget'!B65</f>
        <v>Board/ Committee Expenses</v>
      </c>
      <c r="E5" s="312"/>
      <c r="F5" s="312"/>
      <c r="G5" s="312"/>
      <c r="H5" s="234"/>
      <c r="J5" s="121">
        <f t="shared" si="1"/>
        <v>0.19</v>
      </c>
    </row>
    <row r="6" spans="2:13" ht="19.5" customHeight="1">
      <c r="B6" s="40"/>
      <c r="C6" s="40"/>
      <c r="D6" s="40"/>
      <c r="E6" s="40"/>
      <c r="H6" s="40"/>
      <c r="J6" s="121">
        <f t="shared" si="1"/>
        <v>0.02</v>
      </c>
    </row>
    <row r="7" spans="2:13" ht="14.1" hidden="1" customHeight="1">
      <c r="B7" s="40"/>
      <c r="C7" s="40"/>
      <c r="D7" s="40"/>
      <c r="E7" s="40"/>
      <c r="F7" s="44"/>
      <c r="G7" s="44"/>
      <c r="H7" s="40"/>
    </row>
    <row r="8" spans="2:13" ht="14.1" customHeight="1">
      <c r="B8" s="41" t="s">
        <v>2</v>
      </c>
      <c r="C8" s="40">
        <f>'Operating Budget'!C65</f>
        <v>5030</v>
      </c>
      <c r="D8" s="40"/>
      <c r="E8" s="40"/>
      <c r="F8" s="40"/>
      <c r="G8" s="40"/>
      <c r="H8" s="40"/>
    </row>
    <row r="9" spans="2:13" ht="14.1" customHeight="1">
      <c r="B9" s="41" t="s">
        <v>3</v>
      </c>
      <c r="C9" s="40">
        <f>INDEX('Operating Budget'!$A$11:$A$107,MATCH('33'!C8,'Operating Budget'!C11:C107))</f>
        <v>33</v>
      </c>
      <c r="D9" s="40"/>
      <c r="E9" s="40"/>
      <c r="F9" s="40"/>
      <c r="G9" s="40"/>
      <c r="H9" s="202"/>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200</v>
      </c>
      <c r="C13" s="319"/>
      <c r="D13" s="319"/>
      <c r="E13" s="319"/>
      <c r="F13" s="319"/>
      <c r="G13" s="319"/>
      <c r="H13" s="319"/>
    </row>
    <row r="14" spans="2:13" ht="14.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t="s">
        <v>197</v>
      </c>
      <c r="C17" s="319"/>
      <c r="D17" s="319"/>
      <c r="E17" s="319"/>
      <c r="F17" s="319"/>
      <c r="G17" s="319"/>
      <c r="H17" s="319"/>
    </row>
    <row r="18" spans="2:13" ht="14.1" customHeight="1">
      <c r="B18" s="310"/>
      <c r="C18" s="310"/>
      <c r="D18" s="310"/>
      <c r="E18" s="310"/>
      <c r="F18" s="310"/>
      <c r="G18" s="310"/>
      <c r="H18" s="310"/>
    </row>
    <row r="19" spans="2:13" s="5" customFormat="1" ht="14.1" customHeight="1">
      <c r="B19" s="36" t="s">
        <v>7</v>
      </c>
      <c r="C19" s="37"/>
      <c r="D19" s="37"/>
      <c r="E19" s="37"/>
      <c r="F19" s="37"/>
      <c r="G19" s="37"/>
      <c r="H19" s="38"/>
    </row>
    <row r="20" spans="2:13" s="5" customFormat="1" ht="14.1" customHeight="1">
      <c r="B20" s="40"/>
      <c r="C20" s="41"/>
      <c r="D20" s="40"/>
      <c r="E20" s="40"/>
      <c r="F20" s="40"/>
      <c r="G20" s="40"/>
      <c r="H20" s="40"/>
    </row>
    <row r="21" spans="2:13" s="5" customFormat="1" ht="14.1" customHeight="1">
      <c r="B21" s="67" t="str">
        <f>$D$5</f>
        <v>Board/ Committee Expenses</v>
      </c>
      <c r="C21" s="67"/>
      <c r="D21" s="68"/>
      <c r="E21" s="68"/>
      <c r="F21" s="68" t="s">
        <v>10</v>
      </c>
      <c r="G21" s="69" t="s">
        <v>31</v>
      </c>
      <c r="H21" s="40"/>
      <c r="J21" s="73" t="s">
        <v>32</v>
      </c>
      <c r="K21" s="73" t="s">
        <v>33</v>
      </c>
      <c r="L21" s="73" t="s">
        <v>34</v>
      </c>
      <c r="M21" s="73" t="s">
        <v>35</v>
      </c>
    </row>
    <row r="22" spans="2:13" s="5" customFormat="1" ht="14.1" customHeight="1">
      <c r="B22" s="64" t="s">
        <v>201</v>
      </c>
      <c r="C22" s="57"/>
      <c r="D22" s="80"/>
      <c r="E22" s="66"/>
      <c r="F22" s="66">
        <v>2000</v>
      </c>
      <c r="G22" s="71" t="s">
        <v>152</v>
      </c>
      <c r="H22" s="40"/>
      <c r="J22" s="74">
        <f>INDEX(MASTER!$C$25:$F$42,MATCH($G22,allocation,0),MATCH(J$21,MASTER!$C$24:$F$24,0))</f>
        <v>0.39</v>
      </c>
      <c r="K22" s="74">
        <f>INDEX(MASTER!$C$25:$F$42,MATCH($G22,allocation,0),MATCH(K$21,MASTER!$C$24:$F$24,0))</f>
        <v>0.4</v>
      </c>
      <c r="L22" s="74">
        <f>INDEX(MASTER!$C$25:$F$42,MATCH($G22,allocation,0),MATCH(L$21,MASTER!$C$24:$F$24,0))</f>
        <v>0.19</v>
      </c>
      <c r="M22" s="74">
        <f>INDEX(MASTER!$C$25:$F$42,MATCH($G22,allocation,0),MATCH(M$21,MASTER!$C$24:$F$24,0))</f>
        <v>0.02</v>
      </c>
    </row>
    <row r="23" spans="2:13" s="5" customFormat="1" ht="14.1" customHeight="1" thickBot="1">
      <c r="B23" s="49" t="s">
        <v>10</v>
      </c>
      <c r="C23" s="49"/>
      <c r="D23" s="49"/>
      <c r="E23" s="49"/>
      <c r="F23" s="50">
        <f>SUM(F22:F22)</f>
        <v>2000</v>
      </c>
      <c r="G23" s="49"/>
      <c r="H23" s="40"/>
    </row>
    <row r="24" spans="2:13" s="5" customFormat="1" ht="14.1" customHeight="1" thickTop="1">
      <c r="B24" s="40"/>
      <c r="C24" s="41"/>
      <c r="G24" s="40"/>
      <c r="H24" s="40"/>
    </row>
    <row r="25" spans="2:13" s="5" customFormat="1" ht="14.1" customHeight="1">
      <c r="B25" s="41" t="s">
        <v>11</v>
      </c>
      <c r="C25" s="35">
        <f>ROUNDUP($F$23,-$B$26)</f>
        <v>2000</v>
      </c>
      <c r="F25" s="40"/>
      <c r="G25" s="40"/>
      <c r="H25" s="40"/>
    </row>
    <row r="26" spans="2:13" s="5" customFormat="1" ht="14.1" customHeight="1">
      <c r="B26" s="51">
        <v>1</v>
      </c>
      <c r="C26" s="41"/>
      <c r="D26" s="40"/>
      <c r="E26" s="40"/>
      <c r="F26" s="40"/>
      <c r="G26" s="40"/>
      <c r="H26" s="40"/>
    </row>
    <row r="27" spans="2:13" s="5" customFormat="1" ht="14.1" customHeight="1">
      <c r="B27" s="40"/>
      <c r="C27" s="41"/>
      <c r="D27" s="40"/>
      <c r="E27" s="40"/>
      <c r="F27" s="40"/>
      <c r="G27" s="40"/>
      <c r="H27" s="40"/>
    </row>
    <row r="28" spans="2:13" s="5" customFormat="1" ht="14.1" customHeight="1">
      <c r="B28" s="40"/>
      <c r="C28" s="41"/>
      <c r="D28" s="40"/>
      <c r="E28" s="53" t="s">
        <v>12</v>
      </c>
      <c r="F28" s="54" t="s">
        <v>13</v>
      </c>
      <c r="G28" s="54" t="s">
        <v>14</v>
      </c>
      <c r="H28" s="55" t="s">
        <v>15</v>
      </c>
    </row>
    <row r="29" spans="2:13" s="5" customFormat="1" ht="14.1" customHeight="1">
      <c r="B29" s="36"/>
      <c r="C29" s="36"/>
      <c r="D29" s="36"/>
      <c r="E29" s="53" t="str">
        <f>"FY "&amp;MASTER!$B$4-1&amp;" - "&amp;MASTER!$B$4</f>
        <v>FY 2020 - 2021</v>
      </c>
      <c r="F29" s="56">
        <f>MASTER!$B$6</f>
        <v>44255</v>
      </c>
      <c r="G29" s="54" t="str">
        <f>"June "&amp;MASTER!$B$4</f>
        <v>June 2021</v>
      </c>
      <c r="H29" s="55" t="str">
        <f>"FY "&amp;MASTER!$B$4&amp;" - "&amp;MASTER!$B$5</f>
        <v>FY 2021 - 2022</v>
      </c>
    </row>
    <row r="30" spans="2:13" s="5" customFormat="1" ht="14.1" customHeight="1">
      <c r="B30" s="57"/>
      <c r="C30" s="57"/>
      <c r="D30" s="58"/>
      <c r="E30" s="59"/>
      <c r="F30" s="60"/>
      <c r="G30" s="60"/>
      <c r="H30" s="58"/>
    </row>
    <row r="31" spans="2:13" s="5" customFormat="1" ht="14.1" customHeight="1">
      <c r="B31" s="40" t="str">
        <f>$D$5</f>
        <v>Board/ Committee Expenses</v>
      </c>
      <c r="C31" s="41"/>
      <c r="D31" s="58"/>
      <c r="E31" s="61">
        <v>1000</v>
      </c>
      <c r="F31" s="62">
        <v>80</v>
      </c>
      <c r="G31" s="62">
        <v>1000</v>
      </c>
      <c r="H31" s="63">
        <f>$C$25</f>
        <v>2000</v>
      </c>
    </row>
    <row r="32" spans="2:13" s="5" customFormat="1" ht="14.1" customHeight="1">
      <c r="B32" s="40"/>
      <c r="C32" s="41"/>
      <c r="D32" s="58"/>
      <c r="E32" s="59"/>
      <c r="F32" s="59" t="s">
        <v>202</v>
      </c>
      <c r="G32" s="58"/>
      <c r="H32" s="82"/>
    </row>
    <row r="33" spans="2:253" s="5" customFormat="1" ht="14.1" customHeight="1">
      <c r="B33" s="40"/>
      <c r="C33" s="41"/>
      <c r="D33" s="58"/>
      <c r="E33" s="58"/>
      <c r="F33" s="58"/>
      <c r="G33" s="58"/>
      <c r="H33" s="63"/>
    </row>
    <row r="34" spans="2:253" s="5" customFormat="1" ht="14.1" customHeight="1">
      <c r="B34" s="2"/>
      <c r="C34" s="1"/>
    </row>
    <row r="35" spans="2:253" s="5" customFormat="1" ht="14.1" customHeight="1">
      <c r="B35" s="36" t="s">
        <v>39</v>
      </c>
      <c r="C35" s="36"/>
      <c r="D35" s="55" t="s">
        <v>40</v>
      </c>
      <c r="E35" s="55" t="s">
        <v>41</v>
      </c>
    </row>
    <row r="36" spans="2:253" s="5" customFormat="1" ht="14.1" customHeight="1">
      <c r="B36" s="75" t="s">
        <v>32</v>
      </c>
      <c r="C36" s="84">
        <f>E36/E40</f>
        <v>0.39</v>
      </c>
      <c r="D36" s="78">
        <f>SUMPRODUCT($F$22:$F$22,$J$22:$J$22)</f>
        <v>780</v>
      </c>
      <c r="E36" s="78">
        <f>$D36+($C$25-SUM($D$36:$D$39))*($D36/$D$40)</f>
        <v>780</v>
      </c>
    </row>
    <row r="37" spans="2:253" s="5" customFormat="1" ht="14.1" customHeight="1">
      <c r="B37" s="75" t="s">
        <v>33</v>
      </c>
      <c r="C37" s="84">
        <f>E37/E40</f>
        <v>0.4</v>
      </c>
      <c r="D37" s="78">
        <f>SUMPRODUCT($F$22:$F$22,$K$22:$K$22)</f>
        <v>800</v>
      </c>
      <c r="E37" s="78">
        <f>$D37+($C$25-SUM($D$36:$D$39))*($D37/$D$40)</f>
        <v>800</v>
      </c>
    </row>
    <row r="38" spans="2:253" s="5" customFormat="1" ht="14.1" customHeight="1">
      <c r="B38" s="75" t="s">
        <v>34</v>
      </c>
      <c r="C38" s="84">
        <f>E38/E40</f>
        <v>0.19</v>
      </c>
      <c r="D38" s="78">
        <f>SUMPRODUCT($F$22:$F$22,$L$22:$L$22)</f>
        <v>380</v>
      </c>
      <c r="E38" s="78">
        <f>$D38+($C$25-SUM($D$36:$D$39))*($D38/$D$40)</f>
        <v>380</v>
      </c>
    </row>
    <row r="39" spans="2:253" s="5" customFormat="1" ht="14.1" customHeight="1">
      <c r="B39" s="75" t="s">
        <v>35</v>
      </c>
      <c r="C39" s="84">
        <f>E39/E40</f>
        <v>0.02</v>
      </c>
      <c r="D39" s="78">
        <f>SUMPRODUCT($F$22:$F$22,$M$22:$M$22)</f>
        <v>40</v>
      </c>
      <c r="E39" s="78">
        <f>$D39+($C$25-SUM($D$36:$D$39))*($D39/$D$40)</f>
        <v>40</v>
      </c>
    </row>
    <row r="40" spans="2:253" s="5" customFormat="1" ht="12.75" customHeight="1">
      <c r="B40" s="77" t="s">
        <v>10</v>
      </c>
      <c r="C40" s="85">
        <f>SUM(C36:C39)</f>
        <v>1</v>
      </c>
      <c r="D40" s="79">
        <f>SUM(D36:D39)</f>
        <v>2000</v>
      </c>
      <c r="E40" s="79">
        <f>SUM(E36:E39)</f>
        <v>2000</v>
      </c>
    </row>
    <row r="41" spans="2:253" s="5" customFormat="1" ht="12.75" customHeight="1">
      <c r="B41" s="2"/>
      <c r="C41" s="2"/>
      <c r="D41" s="2"/>
      <c r="E41" s="76"/>
    </row>
    <row r="42" spans="2:253" s="5" customFormat="1" ht="12.75" customHeight="1">
      <c r="E42" s="20"/>
      <c r="F42" s="6"/>
    </row>
    <row r="43" spans="2:253" s="5" customFormat="1" ht="12.75" customHeight="1">
      <c r="E43" s="20"/>
    </row>
    <row r="44" spans="2:253" s="5" customFormat="1" ht="12.75" customHeight="1">
      <c r="D44" s="21"/>
      <c r="E44" s="20"/>
    </row>
    <row r="45" spans="2:253" s="5" customFormat="1" ht="12.75" customHeight="1">
      <c r="D45" s="21"/>
      <c r="E45" s="20"/>
    </row>
    <row r="46" spans="2:253" s="5" customFormat="1" ht="12.75" customHeight="1">
      <c r="E46" s="20"/>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row>
    <row r="47" spans="2:253" s="5" customFormat="1" ht="12.75" customHeight="1">
      <c r="D47" s="21"/>
      <c r="E47" s="20"/>
    </row>
    <row r="48" spans="2:253" s="5" customFormat="1" ht="12.75" customHeight="1">
      <c r="E48" s="20"/>
    </row>
    <row r="49" spans="4:5" ht="12.75" customHeight="1">
      <c r="E49" s="20"/>
    </row>
    <row r="50" spans="4:5" ht="12.75" customHeight="1">
      <c r="E50" s="4"/>
    </row>
    <row r="51" spans="4:5">
      <c r="E51" s="3"/>
    </row>
    <row r="63" spans="4:5">
      <c r="D63" s="3"/>
      <c r="E63" s="3"/>
    </row>
  </sheetData>
  <mergeCells count="4">
    <mergeCell ref="E4:F4"/>
    <mergeCell ref="D5:G5"/>
    <mergeCell ref="B13:H14"/>
    <mergeCell ref="B17:H17"/>
  </mergeCells>
  <dataValidations count="2">
    <dataValidation type="list" allowBlank="1" showInputMessage="1" showErrorMessage="1" sqref="E4" xr:uid="{00000000-0002-0000-2700-000000000000}">
      <formula1>enterprise</formula1>
    </dataValidation>
    <dataValidation type="list" allowBlank="1" showInputMessage="1" showErrorMessage="1" sqref="G22" xr:uid="{00000000-0002-0000-2700-000001000000}">
      <formula1>allocation</formula1>
    </dataValidation>
  </dataValidations>
  <pageMargins left="0.7" right="0.7" top="0.75" bottom="0.75" header="0.3" footer="0.3"/>
  <pageSetup scale="94"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pageSetUpPr fitToPage="1"/>
  </sheetPr>
  <dimension ref="B2:IS63"/>
  <sheetViews>
    <sheetView workbookViewId="0">
      <selection activeCell="G37" sqref="G37"/>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E31</f>
        <v>5000</v>
      </c>
      <c r="K2" s="120">
        <f t="shared" ref="K2:M2" si="0">F31</f>
        <v>0</v>
      </c>
      <c r="L2" s="120">
        <f t="shared" si="0"/>
        <v>1000</v>
      </c>
      <c r="M2" s="120">
        <f t="shared" si="0"/>
        <v>5000</v>
      </c>
    </row>
    <row r="3" spans="2:13" ht="14.1" customHeight="1">
      <c r="B3" s="40"/>
      <c r="C3" s="40"/>
      <c r="D3" s="40"/>
      <c r="E3" s="40"/>
      <c r="F3" s="40"/>
      <c r="G3" s="40"/>
      <c r="H3" s="40"/>
      <c r="J3" s="121">
        <f>C36</f>
        <v>0.39</v>
      </c>
      <c r="K3" s="121"/>
      <c r="L3" s="121"/>
      <c r="M3" s="121"/>
    </row>
    <row r="4" spans="2:13" ht="23.25" customHeight="1">
      <c r="B4" s="40"/>
      <c r="C4" s="40"/>
      <c r="D4" s="40"/>
      <c r="E4" s="316" t="s">
        <v>118</v>
      </c>
      <c r="F4" s="316"/>
      <c r="G4" s="41"/>
      <c r="H4" s="40"/>
      <c r="J4" s="121">
        <f t="shared" ref="J4:J6" si="1">C37</f>
        <v>0.4</v>
      </c>
    </row>
    <row r="5" spans="2:13" ht="14.1" customHeight="1">
      <c r="B5" s="42"/>
      <c r="C5" s="42"/>
      <c r="D5" s="312" t="str">
        <f>'Operating Budget'!B66</f>
        <v>Board Conferences &amp; Seminars</v>
      </c>
      <c r="E5" s="312"/>
      <c r="F5" s="312"/>
      <c r="G5" s="312"/>
      <c r="H5" s="43"/>
      <c r="J5" s="121">
        <f t="shared" si="1"/>
        <v>0.19</v>
      </c>
    </row>
    <row r="6" spans="2:13" ht="19.5" customHeight="1">
      <c r="B6" s="40"/>
      <c r="C6" s="40"/>
      <c r="D6" s="40"/>
      <c r="E6" s="40"/>
      <c r="H6" s="40"/>
      <c r="J6" s="121">
        <f t="shared" si="1"/>
        <v>0.02</v>
      </c>
    </row>
    <row r="7" spans="2:13" ht="14.1" hidden="1" customHeight="1">
      <c r="B7" s="40"/>
      <c r="C7" s="40"/>
      <c r="D7" s="40"/>
      <c r="E7" s="40"/>
      <c r="F7" s="44"/>
      <c r="G7" s="44"/>
      <c r="H7" s="40"/>
    </row>
    <row r="8" spans="2:13" ht="14.1" customHeight="1">
      <c r="B8" s="41" t="s">
        <v>2</v>
      </c>
      <c r="C8" s="40">
        <f>'Operating Budget'!C66</f>
        <v>5040</v>
      </c>
      <c r="D8" s="40"/>
      <c r="E8" s="40"/>
      <c r="F8" s="40"/>
      <c r="G8" s="40"/>
      <c r="H8" s="40"/>
    </row>
    <row r="9" spans="2:13" ht="14.1" customHeight="1">
      <c r="B9" s="41" t="s">
        <v>3</v>
      </c>
      <c r="C9" s="40">
        <f>INDEX('Operating Budget'!$A$11:$A$107,MATCH('34'!C8,'Operating Budget'!C11:C107))</f>
        <v>34</v>
      </c>
      <c r="D9" s="40"/>
      <c r="E9" s="40"/>
      <c r="F9" s="40"/>
      <c r="G9" s="40"/>
      <c r="H9" s="40"/>
    </row>
    <row r="10" spans="2:13" ht="14.1" customHeight="1">
      <c r="B10" s="40"/>
      <c r="C10" s="40"/>
      <c r="D10" s="40"/>
      <c r="E10" s="40"/>
      <c r="F10" s="40"/>
      <c r="G10" s="40"/>
      <c r="H10" s="202"/>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203</v>
      </c>
      <c r="C13" s="319"/>
      <c r="D13" s="319"/>
      <c r="E13" s="319"/>
      <c r="F13" s="319"/>
      <c r="G13" s="319"/>
      <c r="H13" s="319"/>
    </row>
    <row r="14" spans="2:13" ht="14.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t="s">
        <v>43</v>
      </c>
      <c r="C17" s="319"/>
      <c r="D17" s="319"/>
      <c r="E17" s="319"/>
      <c r="F17" s="319"/>
      <c r="G17" s="319"/>
      <c r="H17" s="319"/>
    </row>
    <row r="18" spans="2:13" ht="14.1" customHeight="1">
      <c r="B18" s="310"/>
      <c r="C18" s="310"/>
      <c r="D18" s="310"/>
      <c r="E18" s="310"/>
      <c r="F18" s="310"/>
      <c r="G18" s="310"/>
      <c r="H18" s="310"/>
    </row>
    <row r="19" spans="2:13" s="5" customFormat="1" ht="14.1" customHeight="1">
      <c r="B19" s="36" t="s">
        <v>7</v>
      </c>
      <c r="C19" s="37"/>
      <c r="D19" s="37"/>
      <c r="E19" s="37"/>
      <c r="F19" s="37"/>
      <c r="G19" s="37"/>
      <c r="H19" s="38"/>
    </row>
    <row r="20" spans="2:13" s="5" customFormat="1" ht="14.1" customHeight="1">
      <c r="B20" s="40"/>
      <c r="C20" s="41"/>
      <c r="D20" s="40"/>
      <c r="E20" s="40"/>
      <c r="F20" s="40"/>
      <c r="G20" s="40"/>
      <c r="H20" s="40"/>
    </row>
    <row r="21" spans="2:13" s="5" customFormat="1" ht="14.1" customHeight="1">
      <c r="B21" s="67" t="str">
        <f>$D$5</f>
        <v>Board Conferences &amp; Seminars</v>
      </c>
      <c r="C21" s="67"/>
      <c r="D21" s="68"/>
      <c r="E21" s="68"/>
      <c r="F21" s="68" t="s">
        <v>10</v>
      </c>
      <c r="G21" s="69" t="s">
        <v>31</v>
      </c>
      <c r="H21" s="40"/>
      <c r="J21" s="73" t="s">
        <v>32</v>
      </c>
      <c r="K21" s="73" t="s">
        <v>33</v>
      </c>
      <c r="L21" s="73" t="s">
        <v>34</v>
      </c>
      <c r="M21" s="73" t="s">
        <v>35</v>
      </c>
    </row>
    <row r="22" spans="2:13" s="5" customFormat="1" ht="14.1" customHeight="1">
      <c r="B22" s="64" t="s">
        <v>204</v>
      </c>
      <c r="C22" s="57"/>
      <c r="D22" s="80"/>
      <c r="E22" s="66"/>
      <c r="F22" s="66">
        <v>5000</v>
      </c>
      <c r="G22" s="71" t="s">
        <v>152</v>
      </c>
      <c r="H22" s="40"/>
      <c r="J22" s="74">
        <f>INDEX(MASTER!$C$25:$F$42,MATCH($G22,allocation,0),MATCH(J$21,MASTER!$C$24:$F$24,0))</f>
        <v>0.39</v>
      </c>
      <c r="K22" s="74">
        <f>INDEX(MASTER!$C$25:$F$42,MATCH($G22,allocation,0),MATCH(K$21,MASTER!$C$24:$F$24,0))</f>
        <v>0.4</v>
      </c>
      <c r="L22" s="74">
        <f>INDEX(MASTER!$C$25:$F$42,MATCH($G22,allocation,0),MATCH(L$21,MASTER!$C$24:$F$24,0))</f>
        <v>0.19</v>
      </c>
      <c r="M22" s="74">
        <f>INDEX(MASTER!$C$25:$F$42,MATCH($G22,allocation,0),MATCH(M$21,MASTER!$C$24:$F$24,0))</f>
        <v>0.02</v>
      </c>
    </row>
    <row r="23" spans="2:13" s="5" customFormat="1" ht="14.1" customHeight="1" thickBot="1">
      <c r="B23" s="49" t="s">
        <v>10</v>
      </c>
      <c r="C23" s="49"/>
      <c r="D23" s="49"/>
      <c r="E23" s="49"/>
      <c r="F23" s="50">
        <f>SUM(F22:F22)</f>
        <v>5000</v>
      </c>
      <c r="G23" s="49"/>
      <c r="H23" s="40"/>
    </row>
    <row r="24" spans="2:13" s="5" customFormat="1" ht="14.1" customHeight="1" thickTop="1">
      <c r="B24" s="40"/>
      <c r="C24" s="41"/>
      <c r="G24" s="40"/>
      <c r="H24" s="40"/>
    </row>
    <row r="25" spans="2:13" s="5" customFormat="1" ht="14.1" customHeight="1">
      <c r="B25" s="41" t="s">
        <v>11</v>
      </c>
      <c r="C25" s="35">
        <f>ROUNDUP($F$23,-$B$26)</f>
        <v>5000</v>
      </c>
      <c r="F25" s="40"/>
      <c r="G25" s="40"/>
      <c r="H25" s="40"/>
    </row>
    <row r="26" spans="2:13" s="5" customFormat="1" ht="14.1" customHeight="1">
      <c r="B26" s="51">
        <v>1</v>
      </c>
      <c r="C26" s="41"/>
      <c r="D26" s="40"/>
      <c r="E26" s="40"/>
      <c r="F26" s="40"/>
      <c r="G26" s="40"/>
      <c r="H26" s="40"/>
    </row>
    <row r="27" spans="2:13" s="5" customFormat="1" ht="14.1" customHeight="1">
      <c r="B27" s="40"/>
      <c r="C27" s="41"/>
      <c r="D27" s="40"/>
      <c r="E27" s="40"/>
      <c r="F27" s="40"/>
      <c r="G27" s="40"/>
      <c r="H27" s="40"/>
    </row>
    <row r="28" spans="2:13" s="5" customFormat="1" ht="14.1" customHeight="1">
      <c r="B28" s="40"/>
      <c r="C28" s="41"/>
      <c r="D28" s="40"/>
      <c r="E28" s="53" t="s">
        <v>12</v>
      </c>
      <c r="F28" s="54" t="s">
        <v>13</v>
      </c>
      <c r="G28" s="54" t="s">
        <v>14</v>
      </c>
      <c r="H28" s="55" t="s">
        <v>15</v>
      </c>
    </row>
    <row r="29" spans="2:13" s="5" customFormat="1" ht="14.1" customHeight="1">
      <c r="B29" s="36"/>
      <c r="C29" s="36"/>
      <c r="D29" s="36"/>
      <c r="E29" s="53" t="str">
        <f>"FY "&amp;MASTER!$B$4-1&amp;" - "&amp;MASTER!$B$4</f>
        <v>FY 2020 - 2021</v>
      </c>
      <c r="F29" s="56">
        <f>MASTER!$B$6</f>
        <v>44255</v>
      </c>
      <c r="G29" s="54" t="str">
        <f>"June "&amp;MASTER!$B$4</f>
        <v>June 2021</v>
      </c>
      <c r="H29" s="55" t="str">
        <f>"FY "&amp;MASTER!$B$4&amp;" - "&amp;MASTER!$B$5</f>
        <v>FY 2021 - 2022</v>
      </c>
    </row>
    <row r="30" spans="2:13" s="5" customFormat="1" ht="14.1" customHeight="1">
      <c r="B30" s="57"/>
      <c r="C30" s="57"/>
      <c r="D30" s="58"/>
      <c r="E30" s="59"/>
      <c r="F30" s="60"/>
      <c r="G30" s="60"/>
      <c r="H30" s="58"/>
    </row>
    <row r="31" spans="2:13" s="5" customFormat="1" ht="14.1" customHeight="1">
      <c r="B31" s="40" t="str">
        <f>$D$5</f>
        <v>Board Conferences &amp; Seminars</v>
      </c>
      <c r="C31" s="41"/>
      <c r="D31" s="58"/>
      <c r="E31" s="61">
        <v>5000</v>
      </c>
      <c r="F31" s="62">
        <v>0</v>
      </c>
      <c r="G31" s="62">
        <v>1000</v>
      </c>
      <c r="H31" s="63">
        <f>$C$25</f>
        <v>5000</v>
      </c>
    </row>
    <row r="32" spans="2:13" s="5" customFormat="1" ht="14.1" customHeight="1">
      <c r="B32" s="40"/>
      <c r="C32" s="41"/>
      <c r="D32" s="58"/>
      <c r="E32" s="59"/>
      <c r="F32" s="59"/>
      <c r="G32" s="58"/>
      <c r="H32" s="82"/>
    </row>
    <row r="33" spans="2:253" s="5" customFormat="1" ht="14.1" customHeight="1">
      <c r="B33" s="40"/>
      <c r="C33" s="41"/>
      <c r="D33" s="58"/>
      <c r="E33" s="58"/>
      <c r="F33" s="58"/>
      <c r="G33" s="58"/>
      <c r="H33" s="63"/>
    </row>
    <row r="34" spans="2:253" s="5" customFormat="1" ht="14.1" customHeight="1">
      <c r="B34" s="2"/>
      <c r="C34" s="1"/>
    </row>
    <row r="35" spans="2:253" s="5" customFormat="1" ht="14.1" customHeight="1">
      <c r="B35" s="36" t="s">
        <v>39</v>
      </c>
      <c r="C35" s="36"/>
      <c r="D35" s="55" t="s">
        <v>40</v>
      </c>
      <c r="E35" s="55" t="s">
        <v>41</v>
      </c>
    </row>
    <row r="36" spans="2:253" s="5" customFormat="1" ht="14.1" customHeight="1">
      <c r="B36" s="75" t="s">
        <v>32</v>
      </c>
      <c r="C36" s="84">
        <f>E36/E40</f>
        <v>0.39</v>
      </c>
      <c r="D36" s="78">
        <f>SUMPRODUCT($F$22:$F$22,$J$22:$J$22)</f>
        <v>1950</v>
      </c>
      <c r="E36" s="78">
        <f>$D36+($C$25-SUM($D$36:$D$39))*($D36/$D$40)</f>
        <v>1950</v>
      </c>
    </row>
    <row r="37" spans="2:253" s="5" customFormat="1" ht="14.1" customHeight="1">
      <c r="B37" s="75" t="s">
        <v>33</v>
      </c>
      <c r="C37" s="84">
        <f>E37/E40</f>
        <v>0.4</v>
      </c>
      <c r="D37" s="78">
        <f>SUMPRODUCT($F$22:$F$22,$K$22:$K$22)</f>
        <v>2000</v>
      </c>
      <c r="E37" s="78">
        <f>$D37+($C$25-SUM($D$36:$D$39))*($D37/$D$40)</f>
        <v>2000</v>
      </c>
    </row>
    <row r="38" spans="2:253" s="5" customFormat="1" ht="14.1" customHeight="1">
      <c r="B38" s="75" t="s">
        <v>34</v>
      </c>
      <c r="C38" s="84">
        <f>E38/E40</f>
        <v>0.19</v>
      </c>
      <c r="D38" s="78">
        <f>SUMPRODUCT($F$22:$F$22,$L$22:$L$22)</f>
        <v>950</v>
      </c>
      <c r="E38" s="78">
        <f>$D38+($C$25-SUM($D$36:$D$39))*($D38/$D$40)</f>
        <v>950</v>
      </c>
    </row>
    <row r="39" spans="2:253" s="5" customFormat="1" ht="14.1" customHeight="1">
      <c r="B39" s="75" t="s">
        <v>35</v>
      </c>
      <c r="C39" s="84">
        <f>E39/E40</f>
        <v>0.02</v>
      </c>
      <c r="D39" s="78">
        <f>SUMPRODUCT($F$22:$F$22,$M$22:$M$22)</f>
        <v>100</v>
      </c>
      <c r="E39" s="78">
        <f>$D39+($C$25-SUM($D$36:$D$39))*($D39/$D$40)</f>
        <v>100</v>
      </c>
    </row>
    <row r="40" spans="2:253" s="5" customFormat="1" ht="12.75" customHeight="1">
      <c r="B40" s="77" t="s">
        <v>10</v>
      </c>
      <c r="C40" s="85">
        <f>SUM(C36:C39)</f>
        <v>1</v>
      </c>
      <c r="D40" s="79">
        <f>SUM(D36:D39)</f>
        <v>5000</v>
      </c>
      <c r="E40" s="79">
        <f>SUM(E36:E39)</f>
        <v>5000</v>
      </c>
    </row>
    <row r="41" spans="2:253" s="5" customFormat="1" ht="12.75" customHeight="1">
      <c r="B41" s="2"/>
      <c r="C41" s="2"/>
      <c r="D41" s="2"/>
      <c r="E41" s="76"/>
    </row>
    <row r="42" spans="2:253" s="5" customFormat="1" ht="12.75" customHeight="1">
      <c r="E42" s="20"/>
      <c r="F42" s="6"/>
    </row>
    <row r="43" spans="2:253" s="5" customFormat="1" ht="12.75" customHeight="1">
      <c r="E43" s="20"/>
    </row>
    <row r="44" spans="2:253" s="5" customFormat="1" ht="12.75" customHeight="1">
      <c r="D44" s="21"/>
      <c r="E44" s="20"/>
    </row>
    <row r="45" spans="2:253" s="5" customFormat="1" ht="12.75" customHeight="1">
      <c r="D45" s="21"/>
      <c r="E45" s="20"/>
    </row>
    <row r="46" spans="2:253" s="5" customFormat="1" ht="12.75" customHeight="1">
      <c r="E46" s="20"/>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row>
    <row r="47" spans="2:253" s="5" customFormat="1" ht="12.75" customHeight="1">
      <c r="D47" s="21"/>
      <c r="E47" s="20"/>
    </row>
    <row r="48" spans="2:253" s="5" customFormat="1" ht="12.75" customHeight="1">
      <c r="E48" s="20"/>
    </row>
    <row r="49" spans="4:5" ht="12.75" customHeight="1">
      <c r="E49" s="20"/>
    </row>
    <row r="50" spans="4:5" ht="12.75" customHeight="1">
      <c r="E50" s="4"/>
    </row>
    <row r="51" spans="4:5">
      <c r="E51" s="3"/>
    </row>
    <row r="63" spans="4:5">
      <c r="D63" s="3"/>
      <c r="E63" s="3"/>
    </row>
  </sheetData>
  <mergeCells count="4">
    <mergeCell ref="E4:F4"/>
    <mergeCell ref="D5:G5"/>
    <mergeCell ref="B13:H14"/>
    <mergeCell ref="B17:H17"/>
  </mergeCells>
  <dataValidations count="2">
    <dataValidation type="list" allowBlank="1" showInputMessage="1" showErrorMessage="1" sqref="G22" xr:uid="{00000000-0002-0000-2800-000000000000}">
      <formula1>allocation</formula1>
    </dataValidation>
    <dataValidation type="list" allowBlank="1" showInputMessage="1" showErrorMessage="1" sqref="E4" xr:uid="{00000000-0002-0000-2800-000001000000}">
      <formula1>enterprise</formula1>
    </dataValidation>
  </dataValidations>
  <pageMargins left="0.7" right="0.7" top="0.75" bottom="0.75" header="0.3" footer="0.3"/>
  <pageSetup scale="94"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pageSetUpPr fitToPage="1"/>
  </sheetPr>
  <dimension ref="B2:IS63"/>
  <sheetViews>
    <sheetView topLeftCell="A4" workbookViewId="0">
      <selection activeCell="G38" sqref="G38"/>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E31</f>
        <v>8500</v>
      </c>
      <c r="K2" s="120">
        <f t="shared" ref="K2:M2" si="0">F31</f>
        <v>0</v>
      </c>
      <c r="L2" s="120">
        <f t="shared" si="0"/>
        <v>1000</v>
      </c>
      <c r="M2" s="120">
        <f t="shared" si="0"/>
        <v>8500</v>
      </c>
    </row>
    <row r="3" spans="2:13" ht="14.1" customHeight="1">
      <c r="B3" s="40"/>
      <c r="C3" s="40"/>
      <c r="D3" s="40"/>
      <c r="E3" s="40"/>
      <c r="F3" s="40"/>
      <c r="G3" s="40"/>
      <c r="H3" s="40"/>
      <c r="J3" s="121">
        <f>C36</f>
        <v>0.39</v>
      </c>
      <c r="K3" s="121"/>
      <c r="L3" s="121"/>
      <c r="M3" s="121"/>
    </row>
    <row r="4" spans="2:13" ht="23.25" customHeight="1">
      <c r="B4" s="40"/>
      <c r="C4" s="40"/>
      <c r="D4" s="40"/>
      <c r="E4" s="316" t="s">
        <v>118</v>
      </c>
      <c r="F4" s="316"/>
      <c r="G4" s="41"/>
      <c r="H4" s="40"/>
      <c r="J4" s="121">
        <f t="shared" ref="J4:J6" si="1">C37</f>
        <v>0.4</v>
      </c>
    </row>
    <row r="5" spans="2:13" ht="14.1" customHeight="1">
      <c r="B5" s="42"/>
      <c r="C5" s="42"/>
      <c r="D5" s="312" t="str">
        <f>'Operating Budget'!B67</f>
        <v>Travel &amp; Lodging</v>
      </c>
      <c r="E5" s="312"/>
      <c r="F5" s="312"/>
      <c r="G5" s="312"/>
      <c r="H5" s="43"/>
      <c r="J5" s="121">
        <f t="shared" si="1"/>
        <v>0.19</v>
      </c>
    </row>
    <row r="6" spans="2:13" ht="19.5" customHeight="1">
      <c r="B6" s="40"/>
      <c r="C6" s="40"/>
      <c r="D6" s="40"/>
      <c r="E6" s="40"/>
      <c r="H6" s="40"/>
      <c r="J6" s="121">
        <f t="shared" si="1"/>
        <v>0.02</v>
      </c>
    </row>
    <row r="7" spans="2:13" ht="14.1" hidden="1" customHeight="1">
      <c r="B7" s="40"/>
      <c r="C7" s="40"/>
      <c r="D7" s="40"/>
      <c r="E7" s="40"/>
      <c r="F7" s="44"/>
      <c r="G7" s="44"/>
      <c r="H7" s="40"/>
    </row>
    <row r="8" spans="2:13" ht="14.1" customHeight="1">
      <c r="B8" s="41" t="s">
        <v>2</v>
      </c>
      <c r="C8" s="40">
        <f>'Operating Budget'!C67</f>
        <v>5050</v>
      </c>
      <c r="D8" s="40"/>
      <c r="E8" s="40"/>
      <c r="F8" s="40"/>
      <c r="G8" s="40"/>
      <c r="H8" s="40"/>
    </row>
    <row r="9" spans="2:13" ht="14.1" customHeight="1">
      <c r="B9" s="41" t="s">
        <v>3</v>
      </c>
      <c r="C9" s="40">
        <f>INDEX('Operating Budget'!$A$11:$A$107,MATCH('35'!C8,'Operating Budget'!C11:C107))</f>
        <v>35</v>
      </c>
      <c r="D9" s="40"/>
      <c r="E9" s="40"/>
      <c r="F9" s="40"/>
      <c r="G9" s="40"/>
      <c r="H9" s="40"/>
      <c r="I9" s="6"/>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205</v>
      </c>
      <c r="C13" s="319"/>
      <c r="D13" s="319"/>
      <c r="E13" s="319"/>
      <c r="F13" s="319"/>
      <c r="G13" s="319"/>
      <c r="H13" s="319"/>
    </row>
    <row r="14" spans="2:13" ht="14.1" hidden="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t="s">
        <v>43</v>
      </c>
      <c r="C17" s="319"/>
      <c r="D17" s="319"/>
      <c r="E17" s="319"/>
      <c r="F17" s="319"/>
      <c r="G17" s="319"/>
      <c r="H17" s="319"/>
    </row>
    <row r="18" spans="2:13" ht="14.1" customHeight="1">
      <c r="B18" s="310"/>
      <c r="C18" s="310"/>
      <c r="D18" s="310"/>
      <c r="E18" s="310"/>
      <c r="F18" s="310"/>
      <c r="G18" s="310"/>
      <c r="H18" s="310"/>
    </row>
    <row r="19" spans="2:13" s="5" customFormat="1" ht="14.1" customHeight="1">
      <c r="B19" s="36" t="s">
        <v>7</v>
      </c>
      <c r="C19" s="37"/>
      <c r="D19" s="37"/>
      <c r="E19" s="37"/>
      <c r="F19" s="37"/>
      <c r="G19" s="37"/>
      <c r="H19" s="38"/>
    </row>
    <row r="20" spans="2:13" s="5" customFormat="1" ht="14.1" customHeight="1">
      <c r="B20" s="40"/>
      <c r="C20" s="41"/>
      <c r="D20" s="40"/>
      <c r="E20" s="40"/>
      <c r="F20" s="40"/>
      <c r="G20" s="40"/>
      <c r="H20" s="40"/>
    </row>
    <row r="21" spans="2:13" s="5" customFormat="1" ht="14.1" customHeight="1">
      <c r="B21" s="67" t="str">
        <f>$D$5</f>
        <v>Travel &amp; Lodging</v>
      </c>
      <c r="C21" s="67"/>
      <c r="D21" s="68"/>
      <c r="E21" s="68"/>
      <c r="F21" s="68" t="s">
        <v>10</v>
      </c>
      <c r="G21" s="69" t="s">
        <v>31</v>
      </c>
      <c r="H21" s="40"/>
      <c r="J21" s="73" t="s">
        <v>32</v>
      </c>
      <c r="K21" s="73" t="s">
        <v>33</v>
      </c>
      <c r="L21" s="73" t="s">
        <v>34</v>
      </c>
      <c r="M21" s="73" t="s">
        <v>35</v>
      </c>
    </row>
    <row r="22" spans="2:13" s="5" customFormat="1" ht="14.1" customHeight="1">
      <c r="B22" s="64" t="s">
        <v>206</v>
      </c>
      <c r="C22" s="57"/>
      <c r="D22" s="80"/>
      <c r="E22" s="66"/>
      <c r="F22" s="66">
        <v>8500</v>
      </c>
      <c r="G22" s="71" t="s">
        <v>152</v>
      </c>
      <c r="H22" s="40"/>
      <c r="J22" s="74">
        <f>INDEX(MASTER!$C$25:$F$42,MATCH($G22,allocation,0),MATCH(J$21,MASTER!$C$24:$F$24,0))</f>
        <v>0.39</v>
      </c>
      <c r="K22" s="74">
        <f>INDEX(MASTER!$C$25:$F$42,MATCH($G22,allocation,0),MATCH(K$21,MASTER!$C$24:$F$24,0))</f>
        <v>0.4</v>
      </c>
      <c r="L22" s="74">
        <f>INDEX(MASTER!$C$25:$F$42,MATCH($G22,allocation,0),MATCH(L$21,MASTER!$C$24:$F$24,0))</f>
        <v>0.19</v>
      </c>
      <c r="M22" s="74">
        <f>INDEX(MASTER!$C$25:$F$42,MATCH($G22,allocation,0),MATCH(M$21,MASTER!$C$24:$F$24,0))</f>
        <v>0.02</v>
      </c>
    </row>
    <row r="23" spans="2:13" s="5" customFormat="1" ht="14.1" customHeight="1" thickBot="1">
      <c r="B23" s="49" t="s">
        <v>10</v>
      </c>
      <c r="C23" s="49"/>
      <c r="D23" s="49"/>
      <c r="E23" s="49"/>
      <c r="F23" s="50">
        <f>SUM(F22:F22)</f>
        <v>8500</v>
      </c>
      <c r="G23" s="49"/>
      <c r="H23" s="40"/>
    </row>
    <row r="24" spans="2:13" s="5" customFormat="1" ht="14.1" customHeight="1" thickTop="1">
      <c r="B24" s="40"/>
      <c r="C24" s="41"/>
      <c r="G24" s="40"/>
      <c r="H24" s="40"/>
    </row>
    <row r="25" spans="2:13" s="5" customFormat="1" ht="14.1" customHeight="1">
      <c r="B25" s="41" t="s">
        <v>11</v>
      </c>
      <c r="C25" s="35">
        <f>ROUNDUP($F$23,-$B$26)</f>
        <v>8500</v>
      </c>
      <c r="F25" s="40"/>
      <c r="G25" s="40"/>
      <c r="H25" s="40"/>
    </row>
    <row r="26" spans="2:13" s="5" customFormat="1" ht="14.1" customHeight="1">
      <c r="B26" s="51">
        <v>1</v>
      </c>
      <c r="C26" s="41"/>
      <c r="D26" s="40"/>
      <c r="E26" s="40"/>
      <c r="F26" s="40"/>
      <c r="G26" s="40"/>
      <c r="H26" s="40"/>
    </row>
    <row r="27" spans="2:13" s="5" customFormat="1" ht="14.1" customHeight="1">
      <c r="B27" s="40"/>
      <c r="C27" s="41"/>
      <c r="D27" s="40"/>
      <c r="E27" s="40"/>
      <c r="F27" s="40"/>
      <c r="G27" s="40"/>
      <c r="H27" s="40"/>
    </row>
    <row r="28" spans="2:13" s="5" customFormat="1" ht="14.1" customHeight="1">
      <c r="B28" s="40"/>
      <c r="C28" s="41"/>
      <c r="D28" s="40"/>
      <c r="E28" s="53" t="s">
        <v>12</v>
      </c>
      <c r="F28" s="54" t="s">
        <v>13</v>
      </c>
      <c r="G28" s="54" t="s">
        <v>14</v>
      </c>
      <c r="H28" s="55" t="s">
        <v>15</v>
      </c>
    </row>
    <row r="29" spans="2:13" s="5" customFormat="1" ht="14.1" customHeight="1">
      <c r="B29" s="36"/>
      <c r="C29" s="36"/>
      <c r="D29" s="36"/>
      <c r="E29" s="53" t="str">
        <f>"FY "&amp;MASTER!$B$4-1&amp;" - "&amp;MASTER!$B$4</f>
        <v>FY 2020 - 2021</v>
      </c>
      <c r="F29" s="56">
        <f>MASTER!$B$6</f>
        <v>44255</v>
      </c>
      <c r="G29" s="54" t="str">
        <f>"June "&amp;MASTER!$B$4</f>
        <v>June 2021</v>
      </c>
      <c r="H29" s="55" t="str">
        <f>"FY "&amp;MASTER!$B$4&amp;" - "&amp;MASTER!$B$5</f>
        <v>FY 2021 - 2022</v>
      </c>
    </row>
    <row r="30" spans="2:13" s="5" customFormat="1" ht="14.1" customHeight="1">
      <c r="B30" s="57"/>
      <c r="C30" s="57"/>
      <c r="D30" s="58"/>
      <c r="E30" s="59"/>
      <c r="F30" s="60"/>
      <c r="G30" s="60"/>
      <c r="H30" s="58"/>
    </row>
    <row r="31" spans="2:13" s="5" customFormat="1" ht="14.1" customHeight="1">
      <c r="B31" s="40" t="str">
        <f>$D$5</f>
        <v>Travel &amp; Lodging</v>
      </c>
      <c r="C31" s="41"/>
      <c r="D31" s="58"/>
      <c r="E31" s="61">
        <v>8500</v>
      </c>
      <c r="F31" s="62">
        <v>0</v>
      </c>
      <c r="G31" s="62">
        <v>1000</v>
      </c>
      <c r="H31" s="63">
        <f>$C$25</f>
        <v>8500</v>
      </c>
    </row>
    <row r="32" spans="2:13" s="5" customFormat="1" ht="14.1" customHeight="1">
      <c r="B32" s="40"/>
      <c r="C32" s="41"/>
      <c r="D32" s="58"/>
      <c r="E32" s="59"/>
      <c r="F32" s="59"/>
      <c r="G32" s="58"/>
      <c r="H32" s="82"/>
    </row>
    <row r="33" spans="2:253" s="5" customFormat="1" ht="14.1" customHeight="1">
      <c r="B33" s="40"/>
      <c r="C33" s="41"/>
      <c r="D33" s="58"/>
      <c r="E33" s="58"/>
      <c r="F33" s="58"/>
      <c r="G33" s="58"/>
      <c r="H33" s="63"/>
    </row>
    <row r="34" spans="2:253" s="5" customFormat="1" ht="14.1" customHeight="1">
      <c r="B34" s="2"/>
      <c r="C34" s="1"/>
    </row>
    <row r="35" spans="2:253" s="5" customFormat="1" ht="14.1" customHeight="1">
      <c r="B35" s="36" t="s">
        <v>39</v>
      </c>
      <c r="C35" s="36"/>
      <c r="D35" s="55" t="s">
        <v>40</v>
      </c>
      <c r="E35" s="55" t="s">
        <v>41</v>
      </c>
    </row>
    <row r="36" spans="2:253" s="5" customFormat="1" ht="14.1" customHeight="1">
      <c r="B36" s="75" t="s">
        <v>32</v>
      </c>
      <c r="C36" s="84">
        <f>E36/E40</f>
        <v>0.39</v>
      </c>
      <c r="D36" s="78">
        <f>SUMPRODUCT($F$22:$F$22,$J$22:$J$22)</f>
        <v>3315</v>
      </c>
      <c r="E36" s="78">
        <f>$D36+($C$25-SUM($D$36:$D$39))*($D36/$D$40)</f>
        <v>3315</v>
      </c>
    </row>
    <row r="37" spans="2:253" s="5" customFormat="1" ht="14.1" customHeight="1">
      <c r="B37" s="75" t="s">
        <v>33</v>
      </c>
      <c r="C37" s="84">
        <f>E37/E40</f>
        <v>0.4</v>
      </c>
      <c r="D37" s="78">
        <f>SUMPRODUCT($F$22:$F$22,$K$22:$K$22)</f>
        <v>3400</v>
      </c>
      <c r="E37" s="78">
        <f>$D37+($C$25-SUM($D$36:$D$39))*($D37/$D$40)</f>
        <v>3400</v>
      </c>
    </row>
    <row r="38" spans="2:253" s="5" customFormat="1" ht="14.1" customHeight="1">
      <c r="B38" s="75" t="s">
        <v>34</v>
      </c>
      <c r="C38" s="84">
        <f>E38/E40</f>
        <v>0.19</v>
      </c>
      <c r="D38" s="78">
        <f>SUMPRODUCT($F$22:$F$22,$L$22:$L$22)</f>
        <v>1615</v>
      </c>
      <c r="E38" s="78">
        <f>$D38+($C$25-SUM($D$36:$D$39))*($D38/$D$40)</f>
        <v>1615</v>
      </c>
    </row>
    <row r="39" spans="2:253" s="5" customFormat="1" ht="14.1" customHeight="1">
      <c r="B39" s="75" t="s">
        <v>35</v>
      </c>
      <c r="C39" s="84">
        <f>E39/E40</f>
        <v>0.02</v>
      </c>
      <c r="D39" s="78">
        <f>SUMPRODUCT($F$22:$F$22,$M$22:$M$22)</f>
        <v>170</v>
      </c>
      <c r="E39" s="78">
        <f>$D39+($C$25-SUM($D$36:$D$39))*($D39/$D$40)</f>
        <v>170</v>
      </c>
    </row>
    <row r="40" spans="2:253" s="5" customFormat="1" ht="12.75" customHeight="1">
      <c r="B40" s="77" t="s">
        <v>10</v>
      </c>
      <c r="C40" s="85">
        <f>SUM(C36:C39)</f>
        <v>1</v>
      </c>
      <c r="D40" s="79">
        <f>SUM(D36:D39)</f>
        <v>8500</v>
      </c>
      <c r="E40" s="79">
        <f>SUM(E36:E39)</f>
        <v>8500</v>
      </c>
    </row>
    <row r="41" spans="2:253" s="5" customFormat="1" ht="12.75" customHeight="1">
      <c r="B41" s="2"/>
      <c r="C41" s="2"/>
      <c r="D41" s="2"/>
      <c r="E41" s="76"/>
    </row>
    <row r="42" spans="2:253" s="5" customFormat="1" ht="12.75" customHeight="1">
      <c r="E42" s="20"/>
      <c r="F42" s="6"/>
    </row>
    <row r="43" spans="2:253" s="5" customFormat="1" ht="12.75" customHeight="1">
      <c r="E43" s="20"/>
    </row>
    <row r="44" spans="2:253" s="5" customFormat="1" ht="12.75" customHeight="1">
      <c r="D44" s="21"/>
      <c r="E44" s="20"/>
    </row>
    <row r="45" spans="2:253" s="5" customFormat="1" ht="12.75" customHeight="1">
      <c r="D45" s="21"/>
      <c r="E45" s="20"/>
    </row>
    <row r="46" spans="2:253" s="5" customFormat="1" ht="12.75" customHeight="1">
      <c r="E46" s="20"/>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row>
    <row r="47" spans="2:253" s="5" customFormat="1" ht="12.75" customHeight="1">
      <c r="D47" s="21"/>
      <c r="E47" s="20"/>
    </row>
    <row r="48" spans="2:253" s="5" customFormat="1" ht="12.75" customHeight="1">
      <c r="E48" s="20"/>
    </row>
    <row r="49" spans="4:5" ht="12.75" customHeight="1">
      <c r="E49" s="20"/>
    </row>
    <row r="50" spans="4:5" ht="12.75" customHeight="1">
      <c r="E50" s="4"/>
    </row>
    <row r="51" spans="4:5">
      <c r="E51" s="3"/>
    </row>
    <row r="63" spans="4:5">
      <c r="D63" s="3"/>
      <c r="E63" s="3"/>
    </row>
  </sheetData>
  <mergeCells count="4">
    <mergeCell ref="E4:F4"/>
    <mergeCell ref="D5:G5"/>
    <mergeCell ref="B13:H14"/>
    <mergeCell ref="B17:H17"/>
  </mergeCells>
  <dataValidations count="2">
    <dataValidation type="list" allowBlank="1" showInputMessage="1" showErrorMessage="1" sqref="G22" xr:uid="{00000000-0002-0000-2900-000000000000}">
      <formula1>allocation</formula1>
    </dataValidation>
    <dataValidation type="list" allowBlank="1" showInputMessage="1" showErrorMessage="1" sqref="E4" xr:uid="{00000000-0002-0000-2900-000001000000}">
      <formula1>enterprise</formula1>
    </dataValidation>
  </dataValidations>
  <pageMargins left="0.7" right="0.7" top="0.75" bottom="0.75" header="0.3" footer="0.3"/>
  <pageSetup scale="94"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pageSetUpPr fitToPage="1"/>
  </sheetPr>
  <dimension ref="B2:IS70"/>
  <sheetViews>
    <sheetView workbookViewId="0">
      <selection activeCell="J36" sqref="J36"/>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E38</f>
        <v>24000</v>
      </c>
      <c r="K2" s="120">
        <f t="shared" ref="K2:M2" si="0">F38</f>
        <v>24336</v>
      </c>
      <c r="L2" s="120">
        <f t="shared" si="0"/>
        <v>24500</v>
      </c>
      <c r="M2" s="120">
        <f t="shared" si="0"/>
        <v>25000</v>
      </c>
    </row>
    <row r="3" spans="2:13" ht="14.1" customHeight="1">
      <c r="B3" s="40"/>
      <c r="C3" s="40"/>
      <c r="D3" s="40"/>
      <c r="E3" s="40"/>
      <c r="F3" s="40"/>
      <c r="G3" s="40"/>
      <c r="H3" s="40"/>
      <c r="J3" s="121">
        <f>C43</f>
        <v>0.37859069861083156</v>
      </c>
      <c r="K3" s="121"/>
      <c r="L3" s="121"/>
      <c r="M3" s="121"/>
    </row>
    <row r="4" spans="2:13" ht="23.25" customHeight="1">
      <c r="B4" s="40"/>
      <c r="C4" s="40"/>
      <c r="D4" s="40"/>
      <c r="E4" s="316" t="s">
        <v>118</v>
      </c>
      <c r="F4" s="316"/>
      <c r="G4" s="41"/>
      <c r="H4" s="40"/>
      <c r="J4" s="121">
        <f t="shared" ref="J4:J6" si="1">C44</f>
        <v>0.40161465673444735</v>
      </c>
    </row>
    <row r="5" spans="2:13" ht="14.1" customHeight="1">
      <c r="B5" s="42"/>
      <c r="C5" s="42"/>
      <c r="D5" s="312" t="str">
        <f>'Operating Budget'!B68</f>
        <v>District Dues &amp; Memberships</v>
      </c>
      <c r="E5" s="312"/>
      <c r="F5" s="312"/>
      <c r="G5" s="312"/>
      <c r="H5" s="43"/>
      <c r="J5" s="121">
        <f t="shared" si="1"/>
        <v>0.21108918864505741</v>
      </c>
    </row>
    <row r="6" spans="2:13" ht="19.5" customHeight="1">
      <c r="B6" s="40"/>
      <c r="C6" s="40"/>
      <c r="D6" s="40"/>
      <c r="E6" s="40"/>
      <c r="H6" s="40"/>
      <c r="J6" s="121">
        <f t="shared" si="1"/>
        <v>8.7054560096637822E-3</v>
      </c>
    </row>
    <row r="7" spans="2:13" ht="14.1" hidden="1" customHeight="1">
      <c r="B7" s="40"/>
      <c r="C7" s="40"/>
      <c r="D7" s="40"/>
      <c r="E7" s="40"/>
      <c r="F7" s="44"/>
      <c r="G7" s="44"/>
      <c r="H7" s="40"/>
    </row>
    <row r="8" spans="2:13" ht="14.1" customHeight="1">
      <c r="B8" s="41" t="s">
        <v>2</v>
      </c>
      <c r="C8" s="40">
        <f>'Operating Budget'!C68</f>
        <v>5100</v>
      </c>
      <c r="D8" s="40"/>
      <c r="E8" s="40"/>
      <c r="F8" s="40"/>
      <c r="G8" s="40"/>
      <c r="H8" s="40"/>
    </row>
    <row r="9" spans="2:13" ht="14.1" customHeight="1">
      <c r="B9" s="41" t="s">
        <v>3</v>
      </c>
      <c r="C9" s="40">
        <f>INDEX('Operating Budget'!$A$11:$A$107,MATCH('36'!C8,'Operating Budget'!C11:C107))</f>
        <v>36</v>
      </c>
      <c r="D9" s="40"/>
      <c r="E9" s="40"/>
      <c r="F9" s="40"/>
      <c r="G9" s="40"/>
      <c r="H9" s="40"/>
      <c r="I9" s="6"/>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207</v>
      </c>
      <c r="C13" s="319"/>
      <c r="D13" s="319"/>
      <c r="E13" s="319"/>
      <c r="F13" s="319"/>
      <c r="G13" s="319"/>
      <c r="H13" s="319"/>
    </row>
    <row r="14" spans="2:13" ht="14.1" hidden="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t="s">
        <v>208</v>
      </c>
      <c r="C17" s="319"/>
      <c r="D17" s="319"/>
      <c r="E17" s="319"/>
      <c r="F17" s="319"/>
      <c r="G17" s="319"/>
      <c r="H17" s="319"/>
    </row>
    <row r="18" spans="2:13" ht="14.1" customHeight="1">
      <c r="B18" s="310"/>
      <c r="C18" s="310"/>
      <c r="D18" s="310"/>
      <c r="E18" s="310"/>
      <c r="F18" s="310"/>
      <c r="G18" s="310"/>
      <c r="H18" s="310"/>
    </row>
    <row r="19" spans="2:13" s="5" customFormat="1" ht="14.1" customHeight="1">
      <c r="B19" s="36" t="s">
        <v>7</v>
      </c>
      <c r="C19" s="37"/>
      <c r="D19" s="37"/>
      <c r="E19" s="37"/>
      <c r="F19" s="37"/>
      <c r="G19" s="37"/>
      <c r="H19" s="38"/>
    </row>
    <row r="20" spans="2:13" s="5" customFormat="1" ht="14.1" customHeight="1">
      <c r="B20" s="40"/>
      <c r="C20" s="41"/>
      <c r="D20" s="40"/>
      <c r="E20" s="40"/>
      <c r="F20" s="40"/>
      <c r="G20" s="40"/>
      <c r="H20" s="40"/>
    </row>
    <row r="21" spans="2:13" s="5" customFormat="1" ht="14.1" customHeight="1">
      <c r="B21" s="67" t="str">
        <f>$D$5</f>
        <v>District Dues &amp; Memberships</v>
      </c>
      <c r="C21" s="67"/>
      <c r="D21" s="68"/>
      <c r="E21" s="68"/>
      <c r="F21" s="68" t="s">
        <v>10</v>
      </c>
      <c r="G21" s="69" t="s">
        <v>31</v>
      </c>
      <c r="H21" s="40"/>
      <c r="J21" s="73" t="s">
        <v>32</v>
      </c>
      <c r="K21" s="73" t="s">
        <v>33</v>
      </c>
      <c r="L21" s="73" t="s">
        <v>34</v>
      </c>
      <c r="M21" s="73" t="s">
        <v>35</v>
      </c>
    </row>
    <row r="22" spans="2:13" s="5" customFormat="1" ht="14.1" customHeight="1">
      <c r="B22" s="5" t="s">
        <v>209</v>
      </c>
      <c r="C22" s="57"/>
      <c r="D22" s="80"/>
      <c r="E22" s="66"/>
      <c r="F22" s="66">
        <v>10810</v>
      </c>
      <c r="G22" s="71" t="s">
        <v>122</v>
      </c>
      <c r="H22" s="40"/>
      <c r="J22" s="74">
        <f>INDEX(MASTER!$C$25:$F$42,MATCH($G22,allocation,0),MATCH(J$21,MASTER!$C$24:$F$24,0))</f>
        <v>0.43</v>
      </c>
      <c r="K22" s="74">
        <f>INDEX(MASTER!$C$25:$F$42,MATCH($G22,allocation,0),MATCH(K$21,MASTER!$C$24:$F$24,0))</f>
        <v>0.41</v>
      </c>
      <c r="L22" s="74">
        <f>INDEX(MASTER!$C$25:$F$42,MATCH($G22,allocation,0),MATCH(L$21,MASTER!$C$24:$F$24,0))</f>
        <v>0.14000000000000001</v>
      </c>
      <c r="M22" s="74">
        <f>INDEX(MASTER!$C$25:$F$42,MATCH($G22,allocation,0),MATCH(M$21,MASTER!$C$24:$F$24,0))</f>
        <v>0.02</v>
      </c>
    </row>
    <row r="23" spans="2:13" s="5" customFormat="1" ht="14.1" customHeight="1">
      <c r="B23" s="5" t="s">
        <v>210</v>
      </c>
      <c r="C23" s="57"/>
      <c r="D23" s="80"/>
      <c r="E23" s="66"/>
      <c r="F23" s="66">
        <v>100</v>
      </c>
      <c r="G23" s="81" t="s">
        <v>37</v>
      </c>
      <c r="H23" s="40"/>
      <c r="J23" s="74">
        <f>INDEX(MASTER!$C$25:$F$42,MATCH($G23,allocation,0),MATCH(J$21,MASTER!$C$24:$F$24,0))</f>
        <v>1</v>
      </c>
      <c r="K23" s="74">
        <f>INDEX(MASTER!$C$25:$F$42,MATCH($G23,allocation,0),MATCH(K$21,MASTER!$C$24:$F$24,0))</f>
        <v>0</v>
      </c>
      <c r="L23" s="74">
        <f>INDEX(MASTER!$C$25:$F$42,MATCH($G23,allocation,0),MATCH(L$21,MASTER!$C$24:$F$24,0))</f>
        <v>0</v>
      </c>
      <c r="M23" s="74">
        <f>INDEX(MASTER!$C$25:$F$42,MATCH($G23,allocation,0),MATCH(M$21,MASTER!$C$24:$F$24,0))</f>
        <v>0</v>
      </c>
    </row>
    <row r="24" spans="2:13" s="5" customFormat="1" ht="14.1" customHeight="1">
      <c r="B24" s="5" t="s">
        <v>211</v>
      </c>
      <c r="C24" s="57"/>
      <c r="D24" s="80"/>
      <c r="E24" s="66"/>
      <c r="F24" s="66">
        <v>475</v>
      </c>
      <c r="G24" s="81" t="s">
        <v>37</v>
      </c>
      <c r="H24" s="40"/>
      <c r="J24" s="74">
        <f>INDEX(MASTER!$C$25:$F$42,MATCH($G24,allocation,0),MATCH(J$21,MASTER!$C$24:$F$24,0))</f>
        <v>1</v>
      </c>
      <c r="K24" s="74">
        <f>INDEX(MASTER!$C$25:$F$42,MATCH($G24,allocation,0),MATCH(K$21,MASTER!$C$24:$F$24,0))</f>
        <v>0</v>
      </c>
      <c r="L24" s="74">
        <f>INDEX(MASTER!$C$25:$F$42,MATCH($G24,allocation,0),MATCH(L$21,MASTER!$C$24:$F$24,0))</f>
        <v>0</v>
      </c>
      <c r="M24" s="74">
        <f>INDEX(MASTER!$C$25:$F$42,MATCH($G24,allocation,0),MATCH(M$21,MASTER!$C$24:$F$24,0))</f>
        <v>0</v>
      </c>
    </row>
    <row r="25" spans="2:13" s="5" customFormat="1" ht="14.1" customHeight="1">
      <c r="B25" s="5" t="s">
        <v>212</v>
      </c>
      <c r="C25" s="57"/>
      <c r="D25" s="80"/>
      <c r="E25" s="66"/>
      <c r="F25" s="66">
        <v>150</v>
      </c>
      <c r="G25" s="81" t="s">
        <v>37</v>
      </c>
      <c r="H25" s="40"/>
      <c r="J25" s="74">
        <f>INDEX(MASTER!$C$25:$F$42,MATCH($G25,allocation,0),MATCH(J$21,MASTER!$C$24:$F$24,0))</f>
        <v>1</v>
      </c>
      <c r="K25" s="74">
        <f>INDEX(MASTER!$C$25:$F$42,MATCH($G25,allocation,0),MATCH(K$21,MASTER!$C$24:$F$24,0))</f>
        <v>0</v>
      </c>
      <c r="L25" s="74">
        <f>INDEX(MASTER!$C$25:$F$42,MATCH($G25,allocation,0),MATCH(L$21,MASTER!$C$24:$F$24,0))</f>
        <v>0</v>
      </c>
      <c r="M25" s="74">
        <f>INDEX(MASTER!$C$25:$F$42,MATCH($G25,allocation,0),MATCH(M$21,MASTER!$C$24:$F$24,0))</f>
        <v>0</v>
      </c>
    </row>
    <row r="26" spans="2:13" s="5" customFormat="1" ht="14.1" customHeight="1">
      <c r="B26" s="5" t="s">
        <v>213</v>
      </c>
      <c r="C26" s="57"/>
      <c r="D26" s="80"/>
      <c r="E26" s="66"/>
      <c r="F26" s="66">
        <v>3500</v>
      </c>
      <c r="G26" s="81" t="s">
        <v>128</v>
      </c>
      <c r="H26" s="40"/>
      <c r="J26" s="74">
        <f>INDEX(MASTER!$C$25:$F$42,MATCH($G26,allocation,0),MATCH(J$21,MASTER!$C$24:$F$24,0))</f>
        <v>0.33</v>
      </c>
      <c r="K26" s="74">
        <f>INDEX(MASTER!$C$25:$F$42,MATCH($G26,allocation,0),MATCH(K$21,MASTER!$C$24:$F$24,0))</f>
        <v>0.34</v>
      </c>
      <c r="L26" s="74">
        <f>INDEX(MASTER!$C$25:$F$42,MATCH($G26,allocation,0),MATCH(L$21,MASTER!$C$24:$F$24,0))</f>
        <v>0.33</v>
      </c>
      <c r="M26" s="74">
        <f>INDEX(MASTER!$C$25:$F$42,MATCH($G26,allocation,0),MATCH(M$21,MASTER!$C$24:$F$24,0))</f>
        <v>0</v>
      </c>
    </row>
    <row r="27" spans="2:13" s="5" customFormat="1" ht="14.1" customHeight="1">
      <c r="B27" s="5" t="s">
        <v>214</v>
      </c>
      <c r="C27" s="57"/>
      <c r="D27" s="80"/>
      <c r="E27" s="66"/>
      <c r="F27" s="66">
        <v>300</v>
      </c>
      <c r="G27" s="81" t="s">
        <v>37</v>
      </c>
      <c r="H27" s="40"/>
      <c r="J27" s="74">
        <f>INDEX(MASTER!$C$25:$F$42,MATCH($G27,allocation,0),MATCH(J$21,MASTER!$C$24:$F$24,0))</f>
        <v>1</v>
      </c>
      <c r="K27" s="74">
        <f>INDEX(MASTER!$C$25:$F$42,MATCH($G27,allocation,0),MATCH(K$21,MASTER!$C$24:$F$24,0))</f>
        <v>0</v>
      </c>
      <c r="L27" s="74">
        <f>INDEX(MASTER!$C$25:$F$42,MATCH($G27,allocation,0),MATCH(L$21,MASTER!$C$24:$F$24,0))</f>
        <v>0</v>
      </c>
      <c r="M27" s="74">
        <f>INDEX(MASTER!$C$25:$F$42,MATCH($G27,allocation,0),MATCH(M$21,MASTER!$C$24:$F$24,0))</f>
        <v>0</v>
      </c>
    </row>
    <row r="28" spans="2:13" s="5" customFormat="1" ht="14.1" customHeight="1">
      <c r="B28" s="5" t="s">
        <v>215</v>
      </c>
      <c r="C28" s="57"/>
      <c r="D28" s="80"/>
      <c r="E28" s="66"/>
      <c r="F28" s="66">
        <v>7800</v>
      </c>
      <c r="G28" s="81" t="s">
        <v>128</v>
      </c>
      <c r="H28" s="40"/>
      <c r="J28" s="74">
        <f>INDEX(MASTER!$C$25:$F$42,MATCH($G28,allocation,0),MATCH(J$21,MASTER!$C$24:$F$24,0))</f>
        <v>0.33</v>
      </c>
      <c r="K28" s="74">
        <f>INDEX(MASTER!$C$25:$F$42,MATCH($G28,allocation,0),MATCH(K$21,MASTER!$C$24:$F$24,0))</f>
        <v>0.34</v>
      </c>
      <c r="L28" s="74">
        <f>INDEX(MASTER!$C$25:$F$42,MATCH($G28,allocation,0),MATCH(L$21,MASTER!$C$24:$F$24,0))</f>
        <v>0.33</v>
      </c>
      <c r="M28" s="74">
        <f>INDEX(MASTER!$C$25:$F$42,MATCH($G28,allocation,0),MATCH(M$21,MASTER!$C$24:$F$24,0))</f>
        <v>0</v>
      </c>
    </row>
    <row r="29" spans="2:13" s="5" customFormat="1" ht="14.1" customHeight="1">
      <c r="B29" s="5" t="s">
        <v>216</v>
      </c>
      <c r="C29" s="57"/>
      <c r="D29" s="80"/>
      <c r="E29" s="66"/>
      <c r="F29" s="66">
        <v>1700</v>
      </c>
      <c r="G29" s="81" t="s">
        <v>81</v>
      </c>
      <c r="H29" s="40"/>
      <c r="J29" s="74">
        <f>INDEX(MASTER!$C$25:$F$42,MATCH($G29,allocation,0),MATCH(J$21,MASTER!$C$24:$F$24,0))</f>
        <v>0</v>
      </c>
      <c r="K29" s="74">
        <f>INDEX(MASTER!$C$25:$F$42,MATCH($G29,allocation,0),MATCH(K$21,MASTER!$C$24:$F$24,0))</f>
        <v>1</v>
      </c>
      <c r="L29" s="74">
        <f>INDEX(MASTER!$C$25:$F$42,MATCH($G29,allocation,0),MATCH(L$21,MASTER!$C$24:$F$24,0))</f>
        <v>0</v>
      </c>
      <c r="M29" s="74">
        <f>INDEX(MASTER!$C$25:$F$42,MATCH($G29,allocation,0),MATCH(M$21,MASTER!$C$24:$F$24,0))</f>
        <v>0</v>
      </c>
    </row>
    <row r="30" spans="2:13" s="5" customFormat="1" ht="14.1" customHeight="1" thickBot="1">
      <c r="B30" s="49" t="s">
        <v>10</v>
      </c>
      <c r="C30" s="49"/>
      <c r="D30" s="49"/>
      <c r="E30" s="49"/>
      <c r="F30" s="50">
        <f>SUM(F22:F29)</f>
        <v>24835</v>
      </c>
      <c r="G30" s="49"/>
      <c r="H30" s="40"/>
    </row>
    <row r="31" spans="2:13" s="5" customFormat="1" ht="14.1" customHeight="1" thickTop="1">
      <c r="B31" s="40"/>
      <c r="C31" s="41"/>
      <c r="G31" s="40"/>
      <c r="H31" s="40"/>
    </row>
    <row r="32" spans="2:13" s="5" customFormat="1" ht="14.1" customHeight="1">
      <c r="B32" s="41" t="s">
        <v>11</v>
      </c>
      <c r="C32" s="35">
        <f>ROUNDUP($F$30,-$B$33)</f>
        <v>25000</v>
      </c>
      <c r="F32" s="40"/>
      <c r="G32" s="40"/>
      <c r="H32" s="40"/>
    </row>
    <row r="33" spans="2:8" s="5" customFormat="1" ht="14.1" customHeight="1">
      <c r="B33" s="51">
        <v>3</v>
      </c>
      <c r="C33" s="41"/>
      <c r="D33" s="40"/>
      <c r="E33" s="40"/>
      <c r="F33" s="40"/>
      <c r="G33" s="40"/>
      <c r="H33" s="40"/>
    </row>
    <row r="34" spans="2:8" s="5" customFormat="1" ht="14.1" customHeight="1">
      <c r="B34" s="40"/>
      <c r="C34" s="41"/>
      <c r="D34" s="40"/>
      <c r="E34" s="40"/>
      <c r="F34" s="40"/>
      <c r="G34" s="40"/>
      <c r="H34" s="40"/>
    </row>
    <row r="35" spans="2:8" s="5" customFormat="1" ht="14.1" customHeight="1">
      <c r="B35" s="40"/>
      <c r="C35" s="41"/>
      <c r="D35" s="40"/>
      <c r="E35" s="53" t="s">
        <v>12</v>
      </c>
      <c r="F35" s="54" t="s">
        <v>13</v>
      </c>
      <c r="G35" s="54" t="s">
        <v>14</v>
      </c>
      <c r="H35" s="55" t="s">
        <v>15</v>
      </c>
    </row>
    <row r="36" spans="2:8" s="5" customFormat="1" ht="14.1" customHeight="1">
      <c r="B36" s="36"/>
      <c r="C36" s="36"/>
      <c r="D36" s="36"/>
      <c r="E36" s="53" t="str">
        <f>"FY "&amp;MASTER!$B$4-1&amp;" - "&amp;MASTER!$B$4</f>
        <v>FY 2020 - 2021</v>
      </c>
      <c r="F36" s="56">
        <f>MASTER!$B$6</f>
        <v>44255</v>
      </c>
      <c r="G36" s="54" t="str">
        <f>"June "&amp;MASTER!$B$4</f>
        <v>June 2021</v>
      </c>
      <c r="H36" s="55" t="str">
        <f>"FY "&amp;MASTER!$B$4&amp;" - "&amp;MASTER!$B$5</f>
        <v>FY 2021 - 2022</v>
      </c>
    </row>
    <row r="37" spans="2:8" s="5" customFormat="1" ht="14.1" customHeight="1">
      <c r="B37" s="57"/>
      <c r="C37" s="57"/>
      <c r="D37" s="58"/>
      <c r="E37" s="59"/>
      <c r="F37" s="60"/>
      <c r="G37" s="60"/>
      <c r="H37" s="58"/>
    </row>
    <row r="38" spans="2:8" s="5" customFormat="1" ht="14.1" customHeight="1">
      <c r="B38" s="40" t="str">
        <f>$D$5</f>
        <v>District Dues &amp; Memberships</v>
      </c>
      <c r="C38" s="41"/>
      <c r="D38" s="58"/>
      <c r="E38" s="61">
        <v>24000</v>
      </c>
      <c r="F38" s="62">
        <v>24336</v>
      </c>
      <c r="G38" s="62">
        <v>24500</v>
      </c>
      <c r="H38" s="63">
        <f>$C$32</f>
        <v>25000</v>
      </c>
    </row>
    <row r="39" spans="2:8" s="5" customFormat="1" ht="14.1" customHeight="1">
      <c r="B39" s="40"/>
      <c r="C39" s="41"/>
      <c r="D39" s="58"/>
      <c r="E39" s="59"/>
      <c r="F39" s="59"/>
      <c r="G39" s="58"/>
      <c r="H39" s="82"/>
    </row>
    <row r="40" spans="2:8" s="5" customFormat="1" ht="14.1" customHeight="1">
      <c r="B40" s="40"/>
      <c r="C40" s="41"/>
      <c r="D40" s="58"/>
      <c r="E40" s="58"/>
      <c r="F40" s="58"/>
      <c r="G40" s="58"/>
      <c r="H40" s="63"/>
    </row>
    <row r="41" spans="2:8" s="5" customFormat="1" ht="14.1" customHeight="1">
      <c r="B41" s="2"/>
      <c r="C41" s="1"/>
    </row>
    <row r="42" spans="2:8" s="5" customFormat="1" ht="14.1" customHeight="1">
      <c r="B42" s="36" t="s">
        <v>39</v>
      </c>
      <c r="C42" s="36"/>
      <c r="D42" s="55" t="s">
        <v>40</v>
      </c>
      <c r="E42" s="55" t="s">
        <v>41</v>
      </c>
    </row>
    <row r="43" spans="2:8" s="5" customFormat="1" ht="14.1" customHeight="1">
      <c r="B43" s="75" t="s">
        <v>32</v>
      </c>
      <c r="C43" s="84">
        <f>E43/E47</f>
        <v>0.37859069861083156</v>
      </c>
      <c r="D43" s="78">
        <f>SUMPRODUCT($F$22:$F$29,$J$22:$J$29)</f>
        <v>9402.2999999999993</v>
      </c>
      <c r="E43" s="78">
        <f>$D43+($C$32-SUM($D$43:$D$46))*($D43/$D$47)</f>
        <v>9464.7674652707883</v>
      </c>
    </row>
    <row r="44" spans="2:8" s="5" customFormat="1" ht="14.1" customHeight="1">
      <c r="B44" s="75" t="s">
        <v>33</v>
      </c>
      <c r="C44" s="84">
        <f>E44/E47</f>
        <v>0.40161465673444735</v>
      </c>
      <c r="D44" s="78">
        <f>SUMPRODUCT($F$22:$F$29,$K$22:$K$29)</f>
        <v>9974.0999999999985</v>
      </c>
      <c r="E44" s="78">
        <f>$D44+($C$32-SUM($D$43:$D$46))*($D44/$D$47)</f>
        <v>10040.366418361184</v>
      </c>
    </row>
    <row r="45" spans="2:8" s="5" customFormat="1" ht="14.1" customHeight="1">
      <c r="B45" s="75" t="s">
        <v>34</v>
      </c>
      <c r="C45" s="84">
        <f>E45/E47</f>
        <v>0.21108918864505741</v>
      </c>
      <c r="D45" s="78">
        <f>SUMPRODUCT($F$22:$F$29,$L$22:$L$29)</f>
        <v>5242.3999999999996</v>
      </c>
      <c r="E45" s="78">
        <f>$D45+($C$32-SUM($D$43:$D$46))*($D45/$D$47)</f>
        <v>5277.2297161264351</v>
      </c>
    </row>
    <row r="46" spans="2:8" s="5" customFormat="1" ht="14.1" customHeight="1">
      <c r="B46" s="75" t="s">
        <v>35</v>
      </c>
      <c r="C46" s="84">
        <f>E46/E47</f>
        <v>8.7054560096637822E-3</v>
      </c>
      <c r="D46" s="78">
        <f>SUMPRODUCT($F$22:$F$29,$M$22:$M$29)</f>
        <v>216.20000000000002</v>
      </c>
      <c r="E46" s="78">
        <f>$D46+($C$32-SUM($D$43:$D$46))*($D46/$D$47)</f>
        <v>217.63640024159457</v>
      </c>
    </row>
    <row r="47" spans="2:8" s="5" customFormat="1" ht="12.75" customHeight="1">
      <c r="B47" s="77" t="s">
        <v>10</v>
      </c>
      <c r="C47" s="85">
        <f>SUM(C43:C46)</f>
        <v>1.0000000000000002</v>
      </c>
      <c r="D47" s="79">
        <f>SUM(D43:D46)</f>
        <v>24834.999999999996</v>
      </c>
      <c r="E47" s="79">
        <f>SUM(E43:E46)</f>
        <v>25000</v>
      </c>
    </row>
    <row r="48" spans="2:8" s="5" customFormat="1" ht="12.75" customHeight="1">
      <c r="B48" s="2"/>
      <c r="C48" s="2"/>
      <c r="D48" s="2"/>
      <c r="E48" s="76"/>
    </row>
    <row r="49" spans="4:253" s="5" customFormat="1" ht="12.75" customHeight="1">
      <c r="E49" s="20"/>
      <c r="F49" s="6"/>
    </row>
    <row r="50" spans="4:253" s="5" customFormat="1" ht="12.75" customHeight="1">
      <c r="E50" s="20"/>
    </row>
    <row r="51" spans="4:253" s="5" customFormat="1" ht="12.75" customHeight="1">
      <c r="D51" s="21"/>
      <c r="E51" s="20"/>
    </row>
    <row r="52" spans="4:253" s="5" customFormat="1" ht="12.75" customHeight="1">
      <c r="D52" s="21"/>
      <c r="E52" s="20"/>
    </row>
    <row r="53" spans="4:253" s="5" customFormat="1" ht="12.75" customHeight="1">
      <c r="E53" s="20"/>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row>
    <row r="54" spans="4:253" s="5" customFormat="1" ht="12.75" customHeight="1">
      <c r="D54" s="21"/>
      <c r="E54" s="20"/>
    </row>
    <row r="55" spans="4:253" s="5" customFormat="1" ht="12.75" customHeight="1">
      <c r="E55" s="20"/>
    </row>
    <row r="56" spans="4:253" ht="12.75" customHeight="1">
      <c r="E56" s="20"/>
    </row>
    <row r="57" spans="4:253" ht="12.75" customHeight="1">
      <c r="E57" s="4"/>
    </row>
    <row r="58" spans="4:253">
      <c r="E58" s="3"/>
    </row>
    <row r="70" spans="4:5">
      <c r="D70" s="3"/>
      <c r="E70" s="3"/>
    </row>
  </sheetData>
  <mergeCells count="4">
    <mergeCell ref="E4:F4"/>
    <mergeCell ref="D5:G5"/>
    <mergeCell ref="B13:H14"/>
    <mergeCell ref="B17:H17"/>
  </mergeCells>
  <dataValidations count="2">
    <dataValidation type="list" allowBlank="1" showInputMessage="1" showErrorMessage="1" sqref="E4" xr:uid="{00000000-0002-0000-2A00-000001000000}">
      <formula1>enterprise</formula1>
    </dataValidation>
    <dataValidation type="list" allowBlank="1" showInputMessage="1" showErrorMessage="1" sqref="G22:G29" xr:uid="{00000000-0002-0000-2A00-000000000000}">
      <formula1>allocation</formula1>
    </dataValidation>
  </dataValidations>
  <pageMargins left="0.7" right="0.7" top="0.75" bottom="0.75" header="0.3" footer="0.3"/>
  <pageSetup scale="94"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pageSetUpPr fitToPage="1"/>
  </sheetPr>
  <dimension ref="B2:IS63"/>
  <sheetViews>
    <sheetView topLeftCell="A3" workbookViewId="0">
      <selection activeCell="G33" sqref="G33"/>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E31</f>
        <v>8000</v>
      </c>
      <c r="K2" s="120">
        <f t="shared" ref="K2:M2" si="0">F31</f>
        <v>3284</v>
      </c>
      <c r="L2" s="120">
        <f t="shared" si="0"/>
        <v>7500</v>
      </c>
      <c r="M2" s="120">
        <f t="shared" si="0"/>
        <v>8000</v>
      </c>
    </row>
    <row r="3" spans="2:13" ht="14.1" customHeight="1">
      <c r="B3" s="40"/>
      <c r="C3" s="40"/>
      <c r="D3" s="40"/>
      <c r="E3" s="40"/>
      <c r="F3" s="40"/>
      <c r="G3" s="40"/>
      <c r="H3" s="40"/>
      <c r="J3" s="121">
        <f>C36</f>
        <v>0.33</v>
      </c>
      <c r="K3" s="121"/>
      <c r="L3" s="121"/>
      <c r="M3" s="121"/>
    </row>
    <row r="4" spans="2:13" ht="23.25" customHeight="1">
      <c r="B4" s="40"/>
      <c r="C4" s="40"/>
      <c r="D4" s="40"/>
      <c r="E4" s="316" t="s">
        <v>118</v>
      </c>
      <c r="F4" s="316"/>
      <c r="G4" s="41"/>
      <c r="H4" s="40"/>
      <c r="J4" s="121">
        <f t="shared" ref="J4:J6" si="1">C37</f>
        <v>0.34</v>
      </c>
    </row>
    <row r="5" spans="2:13" ht="14.1" customHeight="1">
      <c r="B5" s="42"/>
      <c r="C5" s="42"/>
      <c r="D5" s="312" t="str">
        <f>'Operating Budget'!B69</f>
        <v>Office Supplies</v>
      </c>
      <c r="E5" s="312"/>
      <c r="F5" s="312"/>
      <c r="G5" s="312"/>
      <c r="H5" s="43"/>
      <c r="J5" s="121">
        <f t="shared" si="1"/>
        <v>0.33</v>
      </c>
    </row>
    <row r="6" spans="2:13" ht="19.5" customHeight="1">
      <c r="B6" s="40"/>
      <c r="C6" s="40"/>
      <c r="D6" s="40"/>
      <c r="E6" s="40"/>
      <c r="H6" s="40"/>
      <c r="J6" s="121">
        <f t="shared" si="1"/>
        <v>0</v>
      </c>
    </row>
    <row r="7" spans="2:13" ht="14.1" hidden="1" customHeight="1">
      <c r="B7" s="40"/>
      <c r="C7" s="40"/>
      <c r="D7" s="40"/>
      <c r="E7" s="40"/>
      <c r="F7" s="44"/>
      <c r="G7" s="44"/>
      <c r="H7" s="40"/>
    </row>
    <row r="8" spans="2:13" ht="14.1" customHeight="1">
      <c r="B8" s="41" t="s">
        <v>2</v>
      </c>
      <c r="C8" s="40">
        <f>'Operating Budget'!C69</f>
        <v>5210</v>
      </c>
      <c r="D8" s="40"/>
      <c r="E8" s="40"/>
      <c r="F8" s="40"/>
      <c r="G8" s="40"/>
      <c r="H8" s="40"/>
    </row>
    <row r="9" spans="2:13" ht="14.1" customHeight="1">
      <c r="B9" s="41" t="s">
        <v>3</v>
      </c>
      <c r="C9" s="40">
        <f>INDEX('Operating Budget'!$A$11:$A$107,MATCH('37'!C8,'Operating Budget'!C11:C107))</f>
        <v>37</v>
      </c>
      <c r="D9" s="40"/>
      <c r="E9" s="40"/>
      <c r="F9" s="40"/>
      <c r="G9" s="40"/>
      <c r="H9" s="202"/>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217</v>
      </c>
      <c r="C13" s="319"/>
      <c r="D13" s="319"/>
      <c r="E13" s="319"/>
      <c r="F13" s="319"/>
      <c r="G13" s="319"/>
      <c r="H13" s="319"/>
    </row>
    <row r="14" spans="2:13" ht="14.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t="s">
        <v>43</v>
      </c>
      <c r="C17" s="319"/>
      <c r="D17" s="319"/>
      <c r="E17" s="319"/>
      <c r="F17" s="319"/>
      <c r="G17" s="319"/>
      <c r="H17" s="319"/>
    </row>
    <row r="18" spans="2:13" ht="14.1" customHeight="1">
      <c r="B18" s="310"/>
      <c r="C18" s="310"/>
      <c r="D18" s="310"/>
      <c r="E18" s="310"/>
      <c r="F18" s="310"/>
      <c r="G18" s="310"/>
      <c r="H18" s="310"/>
    </row>
    <row r="19" spans="2:13" s="5" customFormat="1" ht="14.1" customHeight="1">
      <c r="B19" s="36" t="s">
        <v>7</v>
      </c>
      <c r="C19" s="37"/>
      <c r="D19" s="37"/>
      <c r="E19" s="37"/>
      <c r="F19" s="37"/>
      <c r="G19" s="37"/>
      <c r="H19" s="38"/>
    </row>
    <row r="20" spans="2:13" s="5" customFormat="1" ht="14.1" customHeight="1">
      <c r="B20" s="40"/>
      <c r="C20" s="41"/>
      <c r="D20" s="40"/>
      <c r="E20" s="40"/>
      <c r="F20" s="40"/>
      <c r="G20" s="40"/>
      <c r="H20" s="40"/>
    </row>
    <row r="21" spans="2:13" s="5" customFormat="1" ht="14.1" customHeight="1">
      <c r="B21" s="67" t="str">
        <f>$D$5</f>
        <v>Office Supplies</v>
      </c>
      <c r="C21" s="67"/>
      <c r="D21" s="68"/>
      <c r="E21" s="68"/>
      <c r="F21" s="68" t="s">
        <v>10</v>
      </c>
      <c r="G21" s="69" t="s">
        <v>31</v>
      </c>
      <c r="H21" s="40"/>
      <c r="J21" s="73" t="s">
        <v>32</v>
      </c>
      <c r="K21" s="73" t="s">
        <v>33</v>
      </c>
      <c r="L21" s="73" t="s">
        <v>34</v>
      </c>
      <c r="M21" s="73" t="s">
        <v>35</v>
      </c>
    </row>
    <row r="22" spans="2:13" s="5" customFormat="1" ht="14.1" customHeight="1">
      <c r="B22" s="64" t="s">
        <v>218</v>
      </c>
      <c r="C22" s="57"/>
      <c r="D22" s="80"/>
      <c r="E22" s="66"/>
      <c r="F22" s="66">
        <v>8000</v>
      </c>
      <c r="G22" s="71" t="s">
        <v>128</v>
      </c>
      <c r="H22" s="40"/>
      <c r="J22" s="74">
        <f>INDEX(MASTER!$C$25:$F$42,MATCH($G22,allocation,0),MATCH(J$21,MASTER!$C$24:$F$24,0))</f>
        <v>0.33</v>
      </c>
      <c r="K22" s="74">
        <f>INDEX(MASTER!$C$25:$F$42,MATCH($G22,allocation,0),MATCH(K$21,MASTER!$C$24:$F$24,0))</f>
        <v>0.34</v>
      </c>
      <c r="L22" s="74">
        <f>INDEX(MASTER!$C$25:$F$42,MATCH($G22,allocation,0),MATCH(L$21,MASTER!$C$24:$F$24,0))</f>
        <v>0.33</v>
      </c>
      <c r="M22" s="74">
        <f>INDEX(MASTER!$C$25:$F$42,MATCH($G22,allocation,0),MATCH(M$21,MASTER!$C$24:$F$24,0))</f>
        <v>0</v>
      </c>
    </row>
    <row r="23" spans="2:13" s="5" customFormat="1" ht="14.1" customHeight="1" thickBot="1">
      <c r="B23" s="49" t="s">
        <v>10</v>
      </c>
      <c r="C23" s="49"/>
      <c r="D23" s="49"/>
      <c r="E23" s="49"/>
      <c r="F23" s="50">
        <f>SUM(F22:F22)</f>
        <v>8000</v>
      </c>
      <c r="G23" s="49"/>
      <c r="H23" s="40"/>
    </row>
    <row r="24" spans="2:13" s="5" customFormat="1" ht="14.1" customHeight="1" thickTop="1">
      <c r="B24" s="40"/>
      <c r="C24" s="41"/>
      <c r="G24" s="40"/>
      <c r="H24" s="40"/>
    </row>
    <row r="25" spans="2:13" s="5" customFormat="1" ht="14.1" customHeight="1">
      <c r="B25" s="41" t="s">
        <v>11</v>
      </c>
      <c r="C25" s="35">
        <f>ROUNDUP($F$23,-$B$26)</f>
        <v>8000</v>
      </c>
      <c r="F25" s="40"/>
      <c r="G25" s="40"/>
      <c r="H25" s="40"/>
    </row>
    <row r="26" spans="2:13" s="5" customFormat="1" ht="14.1" customHeight="1">
      <c r="B26" s="51">
        <v>1</v>
      </c>
      <c r="C26" s="41"/>
      <c r="D26" s="40"/>
      <c r="E26" s="40"/>
      <c r="F26" s="40"/>
      <c r="G26" s="40"/>
      <c r="H26" s="40"/>
    </row>
    <row r="27" spans="2:13" s="5" customFormat="1" ht="14.1" customHeight="1">
      <c r="B27" s="40"/>
      <c r="C27" s="41"/>
      <c r="D27" s="40"/>
      <c r="E27" s="40"/>
      <c r="F27" s="40"/>
      <c r="G27" s="40"/>
      <c r="H27" s="40"/>
    </row>
    <row r="28" spans="2:13" s="5" customFormat="1" ht="14.1" customHeight="1">
      <c r="B28" s="40"/>
      <c r="C28" s="41"/>
      <c r="D28" s="40"/>
      <c r="E28" s="53" t="s">
        <v>12</v>
      </c>
      <c r="F28" s="54" t="s">
        <v>13</v>
      </c>
      <c r="G28" s="54" t="s">
        <v>14</v>
      </c>
      <c r="H28" s="55" t="s">
        <v>15</v>
      </c>
    </row>
    <row r="29" spans="2:13" s="5" customFormat="1" ht="14.1" customHeight="1">
      <c r="B29" s="36"/>
      <c r="C29" s="36"/>
      <c r="D29" s="36"/>
      <c r="E29" s="53" t="str">
        <f>"FY "&amp;MASTER!$B$4-1&amp;" - "&amp;MASTER!$B$4</f>
        <v>FY 2020 - 2021</v>
      </c>
      <c r="F29" s="56">
        <f>MASTER!$B$6</f>
        <v>44255</v>
      </c>
      <c r="G29" s="54" t="str">
        <f>"June "&amp;MASTER!$B$4</f>
        <v>June 2021</v>
      </c>
      <c r="H29" s="55" t="str">
        <f>"FY "&amp;MASTER!$B$4&amp;" - "&amp;MASTER!$B$5</f>
        <v>FY 2021 - 2022</v>
      </c>
    </row>
    <row r="30" spans="2:13" s="5" customFormat="1" ht="14.1" customHeight="1">
      <c r="B30" s="57"/>
      <c r="C30" s="57"/>
      <c r="D30" s="58"/>
      <c r="E30" s="59"/>
      <c r="F30" s="60"/>
      <c r="G30" s="60"/>
      <c r="H30" s="58"/>
    </row>
    <row r="31" spans="2:13" s="5" customFormat="1" ht="14.1" customHeight="1">
      <c r="B31" s="40" t="str">
        <f>$D$5</f>
        <v>Office Supplies</v>
      </c>
      <c r="C31" s="41"/>
      <c r="D31" s="58"/>
      <c r="E31" s="61">
        <v>8000</v>
      </c>
      <c r="F31" s="62">
        <v>3284</v>
      </c>
      <c r="G31" s="62">
        <v>7500</v>
      </c>
      <c r="H31" s="63">
        <f>$C$25</f>
        <v>8000</v>
      </c>
    </row>
    <row r="32" spans="2:13" s="5" customFormat="1" ht="14.1" customHeight="1">
      <c r="B32" s="40"/>
      <c r="C32" s="41"/>
      <c r="D32" s="58"/>
      <c r="E32" s="59"/>
      <c r="F32" s="59"/>
      <c r="G32" s="58"/>
      <c r="H32" s="82"/>
    </row>
    <row r="33" spans="2:253" s="5" customFormat="1" ht="14.1" customHeight="1">
      <c r="B33" s="40"/>
      <c r="C33" s="41"/>
      <c r="D33" s="58"/>
      <c r="E33" s="58"/>
      <c r="F33" s="58"/>
      <c r="G33" s="58"/>
      <c r="H33" s="63"/>
    </row>
    <row r="34" spans="2:253" s="5" customFormat="1" ht="14.1" customHeight="1">
      <c r="B34" s="2"/>
      <c r="C34" s="1"/>
    </row>
    <row r="35" spans="2:253" s="5" customFormat="1" ht="14.1" customHeight="1">
      <c r="B35" s="36" t="s">
        <v>39</v>
      </c>
      <c r="C35" s="36"/>
      <c r="D35" s="55" t="s">
        <v>40</v>
      </c>
      <c r="E35" s="55" t="s">
        <v>41</v>
      </c>
    </row>
    <row r="36" spans="2:253" s="5" customFormat="1" ht="14.1" customHeight="1">
      <c r="B36" s="75" t="s">
        <v>32</v>
      </c>
      <c r="C36" s="84">
        <f>E36/E40</f>
        <v>0.33</v>
      </c>
      <c r="D36" s="78">
        <f>SUMPRODUCT($F$22:$F$22,$J$22:$J$22)</f>
        <v>2640</v>
      </c>
      <c r="E36" s="78">
        <f>$D36+($C$25-SUM($D$36:$D$39))*($D36/$D$40)</f>
        <v>2640</v>
      </c>
    </row>
    <row r="37" spans="2:253" s="5" customFormat="1" ht="14.1" customHeight="1">
      <c r="B37" s="75" t="s">
        <v>33</v>
      </c>
      <c r="C37" s="84">
        <f>E37/E40</f>
        <v>0.34</v>
      </c>
      <c r="D37" s="78">
        <f>SUMPRODUCT($F$22:$F$22,$K$22:$K$22)</f>
        <v>2720</v>
      </c>
      <c r="E37" s="78">
        <f>$D37+($C$25-SUM($D$36:$D$39))*($D37/$D$40)</f>
        <v>2720</v>
      </c>
    </row>
    <row r="38" spans="2:253" s="5" customFormat="1" ht="14.1" customHeight="1">
      <c r="B38" s="75" t="s">
        <v>34</v>
      </c>
      <c r="C38" s="84">
        <f>E38/E40</f>
        <v>0.33</v>
      </c>
      <c r="D38" s="78">
        <f>SUMPRODUCT($F$22:$F$22,$L$22:$L$22)</f>
        <v>2640</v>
      </c>
      <c r="E38" s="78">
        <f>$D38+($C$25-SUM($D$36:$D$39))*($D38/$D$40)</f>
        <v>2640</v>
      </c>
    </row>
    <row r="39" spans="2:253" s="5" customFormat="1" ht="14.1" customHeight="1">
      <c r="B39" s="75" t="s">
        <v>35</v>
      </c>
      <c r="C39" s="84">
        <f>E39/E40</f>
        <v>0</v>
      </c>
      <c r="D39" s="78">
        <f>SUMPRODUCT($F$22:$F$22,$M$22:$M$22)</f>
        <v>0</v>
      </c>
      <c r="E39" s="78">
        <f>$D39+($C$25-SUM($D$36:$D$39))*($D39/$D$40)</f>
        <v>0</v>
      </c>
    </row>
    <row r="40" spans="2:253" s="5" customFormat="1" ht="12.75" customHeight="1">
      <c r="B40" s="77" t="s">
        <v>10</v>
      </c>
      <c r="C40" s="85">
        <f>SUM(C36:C39)</f>
        <v>1</v>
      </c>
      <c r="D40" s="79">
        <f>SUM(D36:D39)</f>
        <v>8000</v>
      </c>
      <c r="E40" s="79">
        <f>SUM(E36:E39)</f>
        <v>8000</v>
      </c>
    </row>
    <row r="41" spans="2:253" s="5" customFormat="1" ht="12.75" customHeight="1">
      <c r="B41" s="2"/>
      <c r="C41" s="2"/>
      <c r="D41" s="2"/>
      <c r="E41" s="76"/>
    </row>
    <row r="42" spans="2:253" s="5" customFormat="1" ht="12.75" customHeight="1">
      <c r="E42" s="20"/>
      <c r="F42" s="6"/>
    </row>
    <row r="43" spans="2:253" s="5" customFormat="1" ht="12.75" customHeight="1">
      <c r="E43" s="20"/>
    </row>
    <row r="44" spans="2:253" s="5" customFormat="1" ht="12.75" customHeight="1">
      <c r="D44" s="21"/>
      <c r="E44" s="20"/>
    </row>
    <row r="45" spans="2:253" s="5" customFormat="1" ht="12.75" customHeight="1">
      <c r="D45" s="21"/>
      <c r="E45" s="20"/>
    </row>
    <row r="46" spans="2:253" s="5" customFormat="1" ht="12.75" customHeight="1">
      <c r="E46" s="20"/>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row>
    <row r="47" spans="2:253" s="5" customFormat="1" ht="12.75" customHeight="1">
      <c r="D47" s="21"/>
      <c r="E47" s="20"/>
    </row>
    <row r="48" spans="2:253" s="5" customFormat="1" ht="12.75" customHeight="1">
      <c r="E48" s="20"/>
    </row>
    <row r="49" spans="4:5" ht="12.75" customHeight="1">
      <c r="E49" s="20"/>
    </row>
    <row r="50" spans="4:5" ht="12.75" customHeight="1">
      <c r="E50" s="4"/>
    </row>
    <row r="51" spans="4:5">
      <c r="E51" s="3"/>
    </row>
    <row r="63" spans="4:5">
      <c r="D63" s="3"/>
      <c r="E63" s="3"/>
    </row>
  </sheetData>
  <mergeCells count="4">
    <mergeCell ref="E4:F4"/>
    <mergeCell ref="D5:G5"/>
    <mergeCell ref="B13:H14"/>
    <mergeCell ref="B17:H17"/>
  </mergeCells>
  <dataValidations count="2">
    <dataValidation type="list" allowBlank="1" showInputMessage="1" showErrorMessage="1" sqref="E4" xr:uid="{00000000-0002-0000-2B00-000000000000}">
      <formula1>enterprise</formula1>
    </dataValidation>
    <dataValidation type="list" allowBlank="1" showInputMessage="1" showErrorMessage="1" sqref="G22" xr:uid="{00000000-0002-0000-2B00-000001000000}">
      <formula1>allocation</formula1>
    </dataValidation>
  </dataValidations>
  <pageMargins left="0.7" right="0.7" top="0.75" bottom="0.75" header="0.3" footer="0.3"/>
  <pageSetup scale="94"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pageSetUpPr fitToPage="1"/>
  </sheetPr>
  <dimension ref="B2:IS63"/>
  <sheetViews>
    <sheetView topLeftCell="B1" workbookViewId="0">
      <selection activeCell="H33" sqref="H33"/>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E31</f>
        <v>6000</v>
      </c>
      <c r="K2" s="120">
        <f t="shared" ref="K2:M2" si="0">F31</f>
        <v>2443</v>
      </c>
      <c r="L2" s="120">
        <f t="shared" si="0"/>
        <v>5000</v>
      </c>
      <c r="M2" s="120">
        <f t="shared" si="0"/>
        <v>6000</v>
      </c>
    </row>
    <row r="3" spans="2:13" ht="14.1" customHeight="1">
      <c r="B3" s="40"/>
      <c r="C3" s="40"/>
      <c r="D3" s="40"/>
      <c r="E3" s="40"/>
      <c r="F3" s="40"/>
      <c r="G3" s="40"/>
      <c r="H3" s="40"/>
      <c r="J3" s="121">
        <f>C36</f>
        <v>0.41</v>
      </c>
      <c r="K3" s="121"/>
      <c r="L3" s="121"/>
      <c r="M3" s="121"/>
    </row>
    <row r="4" spans="2:13" ht="23.25" customHeight="1">
      <c r="B4" s="40"/>
      <c r="C4" s="40"/>
      <c r="D4" s="40"/>
      <c r="E4" s="316" t="s">
        <v>118</v>
      </c>
      <c r="F4" s="316"/>
      <c r="G4" s="41"/>
      <c r="H4" s="40"/>
      <c r="J4" s="121">
        <f t="shared" ref="J4:J6" si="1">C37</f>
        <v>0.44</v>
      </c>
    </row>
    <row r="5" spans="2:13" ht="14.1" customHeight="1">
      <c r="B5" s="42"/>
      <c r="C5" s="42"/>
      <c r="D5" s="312" t="str">
        <f>'Operating Budget'!B70</f>
        <v>On-Line Bill Paying</v>
      </c>
      <c r="E5" s="312"/>
      <c r="F5" s="312"/>
      <c r="G5" s="312"/>
      <c r="H5" s="43"/>
      <c r="J5" s="121">
        <f t="shared" si="1"/>
        <v>0.15</v>
      </c>
    </row>
    <row r="6" spans="2:13" ht="19.5" customHeight="1">
      <c r="B6" s="40"/>
      <c r="C6" s="40"/>
      <c r="D6" s="40"/>
      <c r="E6" s="40"/>
      <c r="H6" s="40"/>
      <c r="J6" s="121">
        <f t="shared" si="1"/>
        <v>0</v>
      </c>
    </row>
    <row r="7" spans="2:13" ht="14.1" hidden="1" customHeight="1">
      <c r="B7" s="40"/>
      <c r="C7" s="40"/>
      <c r="D7" s="40"/>
      <c r="E7" s="40"/>
      <c r="F7" s="44"/>
      <c r="G7" s="44"/>
      <c r="H7" s="40"/>
    </row>
    <row r="8" spans="2:13" ht="14.1" customHeight="1">
      <c r="B8" s="41" t="s">
        <v>2</v>
      </c>
      <c r="C8" s="40">
        <f>'Operating Budget'!C70</f>
        <v>5215</v>
      </c>
      <c r="D8" s="40"/>
      <c r="E8" s="40"/>
      <c r="F8" s="40"/>
      <c r="G8" s="40"/>
      <c r="H8" s="40"/>
    </row>
    <row r="9" spans="2:13" ht="14.1" customHeight="1">
      <c r="B9" s="41" t="s">
        <v>3</v>
      </c>
      <c r="C9" s="40">
        <f>INDEX('Operating Budget'!$A$11:$A$107,MATCH('38'!C8,'Operating Budget'!C11:C107))</f>
        <v>38</v>
      </c>
      <c r="D9" s="40"/>
      <c r="E9" s="40"/>
      <c r="F9" s="40"/>
      <c r="G9" s="40"/>
      <c r="H9" s="202"/>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219</v>
      </c>
      <c r="C13" s="319"/>
      <c r="D13" s="319"/>
      <c r="E13" s="319"/>
      <c r="F13" s="319"/>
      <c r="G13" s="319"/>
      <c r="H13" s="319"/>
    </row>
    <row r="14" spans="2:13" ht="14.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t="s">
        <v>43</v>
      </c>
      <c r="C17" s="319"/>
      <c r="D17" s="319"/>
      <c r="E17" s="319"/>
      <c r="F17" s="319"/>
      <c r="G17" s="319"/>
      <c r="H17" s="319"/>
    </row>
    <row r="18" spans="2:13" ht="14.1" customHeight="1">
      <c r="B18" s="310"/>
      <c r="C18" s="310"/>
      <c r="D18" s="310"/>
      <c r="E18" s="310"/>
      <c r="F18" s="310"/>
      <c r="G18" s="310"/>
      <c r="H18" s="310"/>
    </row>
    <row r="19" spans="2:13" s="5" customFormat="1" ht="14.1" customHeight="1">
      <c r="B19" s="36" t="s">
        <v>7</v>
      </c>
      <c r="C19" s="37"/>
      <c r="D19" s="37"/>
      <c r="E19" s="37"/>
      <c r="F19" s="37"/>
      <c r="G19" s="37"/>
      <c r="H19" s="38"/>
    </row>
    <row r="20" spans="2:13" s="5" customFormat="1" ht="14.1" customHeight="1">
      <c r="B20" s="40"/>
      <c r="C20" s="41"/>
      <c r="D20" s="40"/>
      <c r="E20" s="40"/>
      <c r="F20" s="40"/>
      <c r="G20" s="40"/>
      <c r="H20" s="40"/>
    </row>
    <row r="21" spans="2:13" s="5" customFormat="1" ht="14.1" customHeight="1">
      <c r="B21" s="67" t="str">
        <f>$D$5</f>
        <v>On-Line Bill Paying</v>
      </c>
      <c r="C21" s="67"/>
      <c r="D21" s="68"/>
      <c r="E21" s="68"/>
      <c r="F21" s="68" t="s">
        <v>10</v>
      </c>
      <c r="G21" s="69" t="s">
        <v>31</v>
      </c>
      <c r="H21" s="40"/>
      <c r="J21" s="73" t="s">
        <v>32</v>
      </c>
      <c r="K21" s="73" t="s">
        <v>33</v>
      </c>
      <c r="L21" s="73" t="s">
        <v>34</v>
      </c>
      <c r="M21" s="73" t="s">
        <v>35</v>
      </c>
    </row>
    <row r="22" spans="2:13" s="5" customFormat="1" ht="14.1" customHeight="1">
      <c r="B22" s="64" t="s">
        <v>220</v>
      </c>
      <c r="C22" s="57"/>
      <c r="D22" s="80"/>
      <c r="E22" s="66"/>
      <c r="F22" s="66">
        <v>5500</v>
      </c>
      <c r="G22" s="71" t="s">
        <v>221</v>
      </c>
      <c r="H22" s="40"/>
      <c r="J22" s="74">
        <f>INDEX(MASTER!$C$25:$F$42,MATCH($G22,allocation,0),MATCH(J$21,MASTER!$C$24:$F$24,0))</f>
        <v>0.41</v>
      </c>
      <c r="K22" s="74">
        <f>INDEX(MASTER!$C$25:$F$42,MATCH($G22,allocation,0),MATCH(K$21,MASTER!$C$24:$F$24,0))</f>
        <v>0.44</v>
      </c>
      <c r="L22" s="74">
        <f>INDEX(MASTER!$C$25:$F$42,MATCH($G22,allocation,0),MATCH(L$21,MASTER!$C$24:$F$24,0))</f>
        <v>0.15</v>
      </c>
      <c r="M22" s="74">
        <f>INDEX(MASTER!$C$25:$F$42,MATCH($G22,allocation,0),MATCH(M$21,MASTER!$C$24:$F$24,0))</f>
        <v>0</v>
      </c>
    </row>
    <row r="23" spans="2:13" s="5" customFormat="1" ht="14.1" customHeight="1" thickBot="1">
      <c r="B23" s="49" t="s">
        <v>10</v>
      </c>
      <c r="C23" s="49"/>
      <c r="D23" s="49"/>
      <c r="E23" s="49"/>
      <c r="F23" s="50">
        <f>SUM(F22:F22)</f>
        <v>5500</v>
      </c>
      <c r="G23" s="49"/>
      <c r="H23" s="40"/>
    </row>
    <row r="24" spans="2:13" s="5" customFormat="1" ht="14.1" customHeight="1" thickTop="1">
      <c r="B24" s="40"/>
      <c r="C24" s="41"/>
      <c r="G24" s="40"/>
      <c r="H24" s="40"/>
    </row>
    <row r="25" spans="2:13" s="5" customFormat="1" ht="14.1" customHeight="1">
      <c r="B25" s="41" t="s">
        <v>11</v>
      </c>
      <c r="C25" s="35">
        <f>ROUNDUP($F$23,-$B$26)</f>
        <v>6000</v>
      </c>
      <c r="F25" s="40"/>
      <c r="G25" s="40"/>
      <c r="H25" s="40"/>
    </row>
    <row r="26" spans="2:13" s="5" customFormat="1" ht="14.1" customHeight="1">
      <c r="B26" s="51">
        <v>3</v>
      </c>
      <c r="C26" s="41"/>
      <c r="D26" s="40"/>
      <c r="E26" s="40"/>
      <c r="F26" s="40"/>
      <c r="G26" s="40"/>
      <c r="H26" s="40"/>
    </row>
    <row r="27" spans="2:13" s="5" customFormat="1" ht="14.1" customHeight="1">
      <c r="B27" s="40"/>
      <c r="C27" s="41"/>
      <c r="D27" s="40"/>
      <c r="E27" s="40"/>
      <c r="F27" s="40"/>
      <c r="G27" s="40"/>
      <c r="H27" s="40"/>
    </row>
    <row r="28" spans="2:13" s="5" customFormat="1" ht="14.1" customHeight="1">
      <c r="B28" s="40"/>
      <c r="C28" s="41"/>
      <c r="D28" s="40"/>
      <c r="E28" s="53" t="s">
        <v>12</v>
      </c>
      <c r="F28" s="54" t="s">
        <v>13</v>
      </c>
      <c r="G28" s="54" t="s">
        <v>14</v>
      </c>
      <c r="H28" s="55" t="s">
        <v>15</v>
      </c>
    </row>
    <row r="29" spans="2:13" s="5" customFormat="1" ht="14.1" customHeight="1">
      <c r="B29" s="36"/>
      <c r="C29" s="36"/>
      <c r="D29" s="36"/>
      <c r="E29" s="53" t="str">
        <f>"FY "&amp;MASTER!$B$4-1&amp;" - "&amp;MASTER!$B$4</f>
        <v>FY 2020 - 2021</v>
      </c>
      <c r="F29" s="56">
        <f>MASTER!$B$6</f>
        <v>44255</v>
      </c>
      <c r="G29" s="54" t="str">
        <f>"June "&amp;MASTER!$B$4</f>
        <v>June 2021</v>
      </c>
      <c r="H29" s="55" t="str">
        <f>"FY "&amp;MASTER!$B$4&amp;" - "&amp;MASTER!$B$5</f>
        <v>FY 2021 - 2022</v>
      </c>
    </row>
    <row r="30" spans="2:13" s="5" customFormat="1" ht="14.1" customHeight="1">
      <c r="B30" s="57"/>
      <c r="C30" s="57"/>
      <c r="D30" s="58"/>
      <c r="E30" s="59"/>
      <c r="F30" s="60"/>
      <c r="G30" s="60"/>
      <c r="H30" s="58"/>
    </row>
    <row r="31" spans="2:13" s="5" customFormat="1" ht="14.1" customHeight="1">
      <c r="B31" s="40" t="str">
        <f>$D$5</f>
        <v>On-Line Bill Paying</v>
      </c>
      <c r="C31" s="41"/>
      <c r="D31" s="58"/>
      <c r="E31" s="61">
        <v>6000</v>
      </c>
      <c r="F31" s="62">
        <v>2443</v>
      </c>
      <c r="G31" s="62">
        <v>5000</v>
      </c>
      <c r="H31" s="63">
        <f>$C$25</f>
        <v>6000</v>
      </c>
    </row>
    <row r="32" spans="2:13" s="5" customFormat="1" ht="14.1" customHeight="1">
      <c r="B32" s="40"/>
      <c r="C32" s="41"/>
      <c r="D32" s="58"/>
      <c r="E32" s="59"/>
      <c r="F32" s="59"/>
      <c r="G32" s="58"/>
      <c r="H32" s="82"/>
    </row>
    <row r="33" spans="2:253" s="5" customFormat="1" ht="14.1" customHeight="1">
      <c r="B33" s="40"/>
      <c r="C33" s="41"/>
      <c r="D33" s="58"/>
      <c r="E33" s="58"/>
      <c r="F33" s="58"/>
      <c r="G33" s="58"/>
      <c r="H33" s="63"/>
    </row>
    <row r="34" spans="2:253" s="5" customFormat="1" ht="14.1" customHeight="1">
      <c r="B34" s="2"/>
      <c r="C34" s="1"/>
    </row>
    <row r="35" spans="2:253" s="5" customFormat="1" ht="14.1" customHeight="1">
      <c r="B35" s="36" t="s">
        <v>39</v>
      </c>
      <c r="C35" s="36"/>
      <c r="D35" s="55" t="s">
        <v>40</v>
      </c>
      <c r="E35" s="55" t="s">
        <v>41</v>
      </c>
    </row>
    <row r="36" spans="2:253" s="5" customFormat="1" ht="14.1" customHeight="1">
      <c r="B36" s="75" t="s">
        <v>32</v>
      </c>
      <c r="C36" s="84">
        <f>E36/E40</f>
        <v>0.41</v>
      </c>
      <c r="D36" s="78">
        <f>SUMPRODUCT($F$22:$F$22,$J$22:$J$22)</f>
        <v>2255</v>
      </c>
      <c r="E36" s="78">
        <f>$D36+($C$25-SUM($D$36:$D$39))*($D36/$D$40)</f>
        <v>2460</v>
      </c>
    </row>
    <row r="37" spans="2:253" s="5" customFormat="1" ht="14.1" customHeight="1">
      <c r="B37" s="75" t="s">
        <v>33</v>
      </c>
      <c r="C37" s="84">
        <f>E37/E40</f>
        <v>0.44</v>
      </c>
      <c r="D37" s="78">
        <f>SUMPRODUCT($F$22:$F$22,$K$22:$K$22)</f>
        <v>2420</v>
      </c>
      <c r="E37" s="78">
        <f>$D37+($C$25-SUM($D$36:$D$39))*($D37/$D$40)</f>
        <v>2640</v>
      </c>
    </row>
    <row r="38" spans="2:253" s="5" customFormat="1" ht="14.1" customHeight="1">
      <c r="B38" s="75" t="s">
        <v>34</v>
      </c>
      <c r="C38" s="84">
        <f>E38/E40</f>
        <v>0.15</v>
      </c>
      <c r="D38" s="78">
        <f>SUMPRODUCT($F$22:$F$22,$L$22:$L$22)</f>
        <v>825</v>
      </c>
      <c r="E38" s="78">
        <f>$D38+($C$25-SUM($D$36:$D$39))*($D38/$D$40)</f>
        <v>900</v>
      </c>
    </row>
    <row r="39" spans="2:253" s="5" customFormat="1" ht="14.1" customHeight="1">
      <c r="B39" s="75" t="s">
        <v>35</v>
      </c>
      <c r="C39" s="84">
        <f>E39/E40</f>
        <v>0</v>
      </c>
      <c r="D39" s="78">
        <f>SUMPRODUCT($F$22:$F$22,$M$22:$M$22)</f>
        <v>0</v>
      </c>
      <c r="E39" s="78">
        <f>$D39+($C$25-SUM($D$36:$D$39))*($D39/$D$40)</f>
        <v>0</v>
      </c>
    </row>
    <row r="40" spans="2:253" s="5" customFormat="1" ht="12.75" customHeight="1">
      <c r="B40" s="77" t="s">
        <v>10</v>
      </c>
      <c r="C40" s="85">
        <f>SUM(C36:C39)</f>
        <v>1</v>
      </c>
      <c r="D40" s="79">
        <f>SUM(D36:D39)</f>
        <v>5500</v>
      </c>
      <c r="E40" s="79">
        <f>SUM(E36:E39)</f>
        <v>6000</v>
      </c>
    </row>
    <row r="41" spans="2:253" s="5" customFormat="1" ht="12.75" customHeight="1">
      <c r="B41" s="2"/>
      <c r="C41" s="2"/>
      <c r="D41" s="2"/>
      <c r="E41" s="76"/>
    </row>
    <row r="42" spans="2:253" s="5" customFormat="1" ht="12.75" customHeight="1">
      <c r="E42" s="20"/>
      <c r="F42" s="6"/>
    </row>
    <row r="43" spans="2:253" s="5" customFormat="1" ht="12.75" customHeight="1">
      <c r="E43" s="20"/>
    </row>
    <row r="44" spans="2:253" s="5" customFormat="1" ht="12.75" customHeight="1">
      <c r="D44" s="21"/>
      <c r="E44" s="20"/>
    </row>
    <row r="45" spans="2:253" s="5" customFormat="1" ht="12.75" customHeight="1">
      <c r="D45" s="21"/>
      <c r="E45" s="20"/>
    </row>
    <row r="46" spans="2:253" s="5" customFormat="1" ht="12.75" customHeight="1">
      <c r="E46" s="20"/>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row>
    <row r="47" spans="2:253" s="5" customFormat="1" ht="12.75" customHeight="1">
      <c r="D47" s="21"/>
      <c r="E47" s="20"/>
    </row>
    <row r="48" spans="2:253" s="5" customFormat="1" ht="12.75" customHeight="1">
      <c r="E48" s="20"/>
    </row>
    <row r="49" spans="4:5" ht="12.75" customHeight="1">
      <c r="E49" s="20"/>
    </row>
    <row r="50" spans="4:5" ht="12.75" customHeight="1">
      <c r="E50" s="4"/>
    </row>
    <row r="51" spans="4:5">
      <c r="E51" s="3"/>
    </row>
    <row r="63" spans="4:5">
      <c r="D63" s="3"/>
      <c r="E63" s="3"/>
    </row>
  </sheetData>
  <mergeCells count="4">
    <mergeCell ref="E4:F4"/>
    <mergeCell ref="D5:G5"/>
    <mergeCell ref="B13:H14"/>
    <mergeCell ref="B17:H17"/>
  </mergeCells>
  <dataValidations count="2">
    <dataValidation type="list" allowBlank="1" showInputMessage="1" showErrorMessage="1" sqref="G22" xr:uid="{00000000-0002-0000-2C00-000000000000}">
      <formula1>allocation</formula1>
    </dataValidation>
    <dataValidation type="list" allowBlank="1" showInputMessage="1" showErrorMessage="1" sqref="E4" xr:uid="{00000000-0002-0000-2C00-000001000000}">
      <formula1>enterprise</formula1>
    </dataValidation>
  </dataValidations>
  <pageMargins left="0.7" right="0.7" top="0.75" bottom="0.75" header="0.3" footer="0.3"/>
  <pageSetup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B2:IS67"/>
  <sheetViews>
    <sheetView workbookViewId="0">
      <selection activeCell="H25" sqref="H25"/>
    </sheetView>
  </sheetViews>
  <sheetFormatPr defaultColWidth="8.85546875" defaultRowHeight="12.75"/>
  <cols>
    <col min="2" max="2" width="15.140625" customWidth="1"/>
    <col min="3" max="8" width="13.7109375" customWidth="1"/>
    <col min="10" max="10" width="9.7109375" bestFit="1" customWidth="1"/>
  </cols>
  <sheetData>
    <row r="2" spans="2:13" ht="14.1" customHeight="1">
      <c r="B2" s="36" t="str">
        <f>"FY "&amp;MASTER!$B$4&amp;" - "&amp;MASTER!$B$5&amp;" OPERATING BUDGET"</f>
        <v>FY 2021 - 2022 OPERATING BUDGET</v>
      </c>
      <c r="C2" s="37"/>
      <c r="D2" s="37"/>
      <c r="E2" s="37"/>
      <c r="F2" s="37"/>
      <c r="G2" s="37"/>
      <c r="H2" s="39" t="s">
        <v>0</v>
      </c>
      <c r="J2" s="120">
        <f>E33</f>
        <v>900000</v>
      </c>
      <c r="K2" s="120">
        <f t="shared" ref="K2:M2" si="0">F33</f>
        <v>491504</v>
      </c>
      <c r="L2" s="120">
        <f t="shared" si="0"/>
        <v>744400</v>
      </c>
      <c r="M2" s="120">
        <f t="shared" si="0"/>
        <v>1000000</v>
      </c>
    </row>
    <row r="3" spans="2:13" ht="14.1" customHeight="1">
      <c r="B3" s="40"/>
      <c r="C3" s="40"/>
      <c r="D3" s="40"/>
      <c r="E3" s="40"/>
      <c r="F3" s="40"/>
      <c r="G3" s="40"/>
      <c r="H3" s="40"/>
      <c r="J3" s="121">
        <f>C40</f>
        <v>1</v>
      </c>
      <c r="K3" s="121"/>
      <c r="L3" s="121"/>
      <c r="M3" s="121"/>
    </row>
    <row r="4" spans="2:13" ht="23.25" customHeight="1">
      <c r="B4" s="40"/>
      <c r="C4" s="40"/>
      <c r="D4" s="40"/>
      <c r="E4" s="316" t="s">
        <v>1</v>
      </c>
      <c r="F4" s="316"/>
      <c r="G4" s="41"/>
      <c r="H4" s="40"/>
      <c r="J4" s="121">
        <f t="shared" ref="J4:J6" si="1">C41</f>
        <v>0</v>
      </c>
    </row>
    <row r="5" spans="2:13" ht="14.1" customHeight="1">
      <c r="B5" s="42"/>
      <c r="C5" s="42"/>
      <c r="D5" s="42"/>
      <c r="E5" s="312" t="str">
        <f>'Operating Budget'!B21</f>
        <v>PHWA Water Contract</v>
      </c>
      <c r="F5" s="312"/>
      <c r="G5" s="2"/>
      <c r="H5" s="43"/>
      <c r="J5" s="121">
        <f t="shared" si="1"/>
        <v>0</v>
      </c>
    </row>
    <row r="6" spans="2:13" ht="19.5" customHeight="1">
      <c r="B6" s="40"/>
      <c r="C6" s="40"/>
      <c r="D6" s="40"/>
      <c r="E6" s="40"/>
      <c r="H6" s="40"/>
      <c r="J6" s="121">
        <f t="shared" si="1"/>
        <v>0</v>
      </c>
    </row>
    <row r="7" spans="2:13" ht="14.1" customHeight="1">
      <c r="B7" s="40"/>
      <c r="C7" s="40"/>
      <c r="D7" s="40"/>
      <c r="E7" s="202"/>
      <c r="F7" s="44"/>
      <c r="G7" s="44"/>
      <c r="H7" s="40"/>
    </row>
    <row r="8" spans="2:13" ht="14.1" customHeight="1">
      <c r="B8" s="41" t="s">
        <v>2</v>
      </c>
      <c r="C8" s="40">
        <f>'Operating Budget'!C21</f>
        <v>4210</v>
      </c>
      <c r="D8" s="40"/>
      <c r="E8" s="40"/>
      <c r="F8" s="40"/>
      <c r="G8" s="40"/>
      <c r="H8" s="40"/>
    </row>
    <row r="9" spans="2:13" ht="14.1" customHeight="1">
      <c r="B9" s="41" t="s">
        <v>3</v>
      </c>
      <c r="C9" s="40">
        <f>INDEX('Operating Budget'!$A$11:$A$107,MATCH('4'!C8,'Operating Budget'!C11:C107))</f>
        <v>4</v>
      </c>
      <c r="D9" s="40"/>
      <c r="E9" s="40"/>
      <c r="F9" s="40"/>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3" t="s">
        <v>27</v>
      </c>
      <c r="C13" s="313"/>
      <c r="D13" s="313"/>
      <c r="E13" s="313"/>
      <c r="F13" s="313"/>
      <c r="G13" s="313"/>
      <c r="H13" s="313"/>
    </row>
    <row r="14" spans="2:13" ht="14.1" hidden="1" customHeight="1">
      <c r="B14" s="313"/>
      <c r="C14" s="313"/>
      <c r="D14" s="313"/>
      <c r="E14" s="313"/>
      <c r="F14" s="313"/>
      <c r="G14" s="313"/>
      <c r="H14" s="313"/>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4" ht="14.1" customHeight="1">
      <c r="B17" s="319" t="s">
        <v>28</v>
      </c>
      <c r="C17" s="319"/>
      <c r="D17" s="319"/>
      <c r="E17" s="319"/>
      <c r="F17" s="319"/>
      <c r="G17" s="319"/>
      <c r="H17" s="319"/>
    </row>
    <row r="18" spans="2:14" ht="14.1" hidden="1" customHeight="1">
      <c r="B18" s="319"/>
      <c r="C18" s="319"/>
      <c r="D18" s="319"/>
      <c r="E18" s="319"/>
      <c r="F18" s="319"/>
      <c r="G18" s="319"/>
      <c r="H18" s="319"/>
    </row>
    <row r="19" spans="2:14" ht="14.1" customHeight="1">
      <c r="B19" s="310"/>
      <c r="C19" s="310"/>
      <c r="D19" s="235"/>
      <c r="E19" s="235"/>
      <c r="F19" s="235"/>
      <c r="G19" s="310"/>
      <c r="H19" s="310"/>
    </row>
    <row r="20" spans="2:14" s="5" customFormat="1" ht="14.1" customHeight="1">
      <c r="B20" s="36" t="s">
        <v>7</v>
      </c>
      <c r="C20" s="37"/>
      <c r="D20" s="37"/>
      <c r="E20" s="37"/>
      <c r="F20" s="37"/>
      <c r="G20" s="37"/>
      <c r="H20" s="38"/>
    </row>
    <row r="21" spans="2:14" s="5" customFormat="1" ht="14.1" customHeight="1">
      <c r="B21" s="40"/>
      <c r="C21" s="41"/>
      <c r="D21" s="40"/>
      <c r="E21" s="40"/>
      <c r="F21" s="40"/>
      <c r="G21" s="40"/>
      <c r="H21" s="40"/>
      <c r="J21" s="231"/>
      <c r="K21" s="231"/>
      <c r="L21" s="231"/>
      <c r="M21" s="231"/>
    </row>
    <row r="22" spans="2:14" s="5" customFormat="1" ht="14.1" customHeight="1">
      <c r="B22" s="67" t="str">
        <f>$E$5</f>
        <v>PHWA Water Contract</v>
      </c>
      <c r="C22" s="67"/>
      <c r="D22" s="68" t="s">
        <v>29</v>
      </c>
      <c r="E22" s="68" t="s">
        <v>30</v>
      </c>
      <c r="F22" s="68" t="s">
        <v>10</v>
      </c>
      <c r="G22" s="69" t="s">
        <v>31</v>
      </c>
      <c r="H22" s="40"/>
      <c r="J22" s="73" t="s">
        <v>32</v>
      </c>
      <c r="K22" s="73" t="s">
        <v>33</v>
      </c>
      <c r="L22" s="73" t="s">
        <v>34</v>
      </c>
      <c r="M22" s="73" t="s">
        <v>35</v>
      </c>
    </row>
    <row r="23" spans="2:14" s="5" customFormat="1" ht="14.1" customHeight="1">
      <c r="B23" s="64" t="s">
        <v>36</v>
      </c>
      <c r="C23" s="57"/>
      <c r="D23" s="80">
        <v>12</v>
      </c>
      <c r="E23" s="66">
        <v>40000</v>
      </c>
      <c r="F23" s="66">
        <f>PRODUCT(D23,E23)</f>
        <v>480000</v>
      </c>
      <c r="G23" s="71" t="s">
        <v>37</v>
      </c>
      <c r="H23" s="40"/>
      <c r="I23" s="230"/>
      <c r="J23" s="232">
        <f>INDEX(MASTER!$C$25:$F$42,MATCH($G23,allocation,0),MATCH(J$22,MASTER!$C$24:$F$24,0))</f>
        <v>1</v>
      </c>
      <c r="K23" s="232">
        <f>INDEX(MASTER!$C$25:$F$42,MATCH($G23,allocation,0),MATCH(K$22,MASTER!$C$24:$F$24,0))</f>
        <v>0</v>
      </c>
      <c r="L23" s="232">
        <f>INDEX(MASTER!$C$25:$F$42,MATCH($G23,allocation,0),MATCH(L$22,MASTER!$C$24:$F$24,0))</f>
        <v>0</v>
      </c>
      <c r="M23" s="232">
        <f>INDEX(MASTER!$C$25:$F$42,MATCH($G23,allocation,0),MATCH(M$22,MASTER!$C$24:$F$24,0))</f>
        <v>0</v>
      </c>
      <c r="N23" s="230"/>
    </row>
    <row r="24" spans="2:14" s="5" customFormat="1" ht="14.1" customHeight="1">
      <c r="B24" s="64" t="s">
        <v>38</v>
      </c>
      <c r="C24" s="57"/>
      <c r="D24" s="80">
        <v>460</v>
      </c>
      <c r="E24" s="66">
        <v>1125</v>
      </c>
      <c r="F24" s="66">
        <f>PRODUCT(D24,E24)</f>
        <v>517500</v>
      </c>
      <c r="G24" s="72" t="s">
        <v>37</v>
      </c>
      <c r="H24" s="40"/>
      <c r="J24" s="74">
        <f>INDEX(MASTER!$C$25:$F$42,MATCH($G24,allocation,0),MATCH(J$22,MASTER!$C$24:$F$24,0))</f>
        <v>1</v>
      </c>
      <c r="K24" s="74">
        <f>INDEX(MASTER!$C$25:$F$42,MATCH($G24,allocation,0),MATCH(K$22,MASTER!$C$24:$F$24,0))</f>
        <v>0</v>
      </c>
      <c r="L24" s="74">
        <f>INDEX(MASTER!$C$25:$F$42,MATCH($G24,allocation,0),MATCH(L$22,MASTER!$C$24:$F$24,0))</f>
        <v>0</v>
      </c>
      <c r="M24" s="74">
        <f>INDEX(MASTER!$C$25:$F$42,MATCH($G24,allocation,0),MATCH(M$22,MASTER!$C$24:$F$24,0))</f>
        <v>0</v>
      </c>
    </row>
    <row r="25" spans="2:14" s="5" customFormat="1" ht="14.1" customHeight="1" thickBot="1">
      <c r="B25" s="49" t="s">
        <v>10</v>
      </c>
      <c r="C25" s="49"/>
      <c r="D25" s="49"/>
      <c r="E25" s="49"/>
      <c r="F25" s="50">
        <f>SUM(F23:F24)</f>
        <v>997500</v>
      </c>
      <c r="G25" s="49"/>
      <c r="H25" s="40"/>
    </row>
    <row r="26" spans="2:14" s="5" customFormat="1" ht="14.1" customHeight="1" thickTop="1">
      <c r="B26" s="40"/>
      <c r="C26" s="41"/>
      <c r="G26" s="40"/>
      <c r="H26" s="40"/>
    </row>
    <row r="27" spans="2:14" s="5" customFormat="1" ht="14.1" customHeight="1">
      <c r="B27" s="41" t="s">
        <v>11</v>
      </c>
      <c r="C27" s="70">
        <f>ROUNDUP($F$25,-$B$28)</f>
        <v>1000000</v>
      </c>
      <c r="F27" s="40"/>
      <c r="G27" s="40"/>
      <c r="H27" s="40"/>
    </row>
    <row r="28" spans="2:14" s="5" customFormat="1" ht="14.1" customHeight="1">
      <c r="B28" s="51">
        <v>4</v>
      </c>
      <c r="C28" s="41"/>
      <c r="D28" s="40"/>
      <c r="E28" s="40"/>
      <c r="F28" s="40"/>
      <c r="G28" s="40"/>
      <c r="H28" s="40"/>
    </row>
    <row r="29" spans="2:14" s="5" customFormat="1" ht="14.1" customHeight="1">
      <c r="B29" s="40"/>
      <c r="C29" s="41"/>
      <c r="D29" s="40"/>
      <c r="E29" s="40"/>
      <c r="F29" s="40"/>
      <c r="G29" s="40"/>
      <c r="H29" s="40"/>
    </row>
    <row r="30" spans="2:14" s="5" customFormat="1" ht="14.1" customHeight="1">
      <c r="B30" s="40"/>
      <c r="C30" s="41"/>
      <c r="D30" s="40"/>
      <c r="E30" s="53" t="s">
        <v>12</v>
      </c>
      <c r="F30" s="54" t="s">
        <v>13</v>
      </c>
      <c r="G30" s="54" t="s">
        <v>14</v>
      </c>
      <c r="H30" s="55" t="s">
        <v>15</v>
      </c>
    </row>
    <row r="31" spans="2:14" s="5" customFormat="1" ht="14.1" customHeight="1">
      <c r="B31" s="36"/>
      <c r="C31" s="36"/>
      <c r="D31" s="36"/>
      <c r="E31" s="53" t="str">
        <f>"FY "&amp;MASTER!$B$4-1&amp;" - "&amp;MASTER!$B$4</f>
        <v>FY 2020 - 2021</v>
      </c>
      <c r="F31" s="56">
        <f>MASTER!$B$6</f>
        <v>44255</v>
      </c>
      <c r="G31" s="54" t="str">
        <f>"June "&amp;MASTER!$B$4</f>
        <v>June 2021</v>
      </c>
      <c r="H31" s="55" t="str">
        <f>"FY "&amp;MASTER!$B$4&amp;" - "&amp;MASTER!$B$5</f>
        <v>FY 2021 - 2022</v>
      </c>
    </row>
    <row r="32" spans="2:14" s="5" customFormat="1" ht="14.1" customHeight="1">
      <c r="B32" s="57"/>
      <c r="C32" s="57"/>
      <c r="D32" s="58"/>
      <c r="E32" s="59"/>
      <c r="F32" s="60"/>
      <c r="G32" s="60"/>
      <c r="H32" s="58"/>
    </row>
    <row r="33" spans="2:8" s="5" customFormat="1" ht="14.1" customHeight="1">
      <c r="B33" s="40" t="str">
        <f>$E$5</f>
        <v>PHWA Water Contract</v>
      </c>
      <c r="C33" s="41"/>
      <c r="D33" s="58"/>
      <c r="E33" s="61">
        <v>900000</v>
      </c>
      <c r="F33" s="62">
        <v>491504</v>
      </c>
      <c r="G33" s="62">
        <v>744400</v>
      </c>
      <c r="H33" s="63">
        <f>C27</f>
        <v>1000000</v>
      </c>
    </row>
    <row r="34" spans="2:8" s="5" customFormat="1" ht="14.1" customHeight="1">
      <c r="B34" s="40"/>
      <c r="C34" s="41"/>
      <c r="D34" s="58"/>
      <c r="E34" s="59"/>
      <c r="F34" s="60"/>
      <c r="G34" s="60"/>
      <c r="H34" s="58"/>
    </row>
    <row r="35" spans="2:8" s="5" customFormat="1" ht="14.1" customHeight="1">
      <c r="B35" s="40"/>
      <c r="C35" s="41"/>
      <c r="D35" s="58"/>
      <c r="E35" s="58"/>
      <c r="F35" s="58"/>
      <c r="G35" s="58"/>
      <c r="H35" s="58"/>
    </row>
    <row r="36" spans="2:8" s="5" customFormat="1" ht="14.1" customHeight="1">
      <c r="B36" s="40"/>
      <c r="C36" s="41"/>
      <c r="D36" s="58"/>
      <c r="E36" s="58"/>
      <c r="F36" s="58"/>
      <c r="G36" s="58"/>
      <c r="H36" s="58"/>
    </row>
    <row r="37" spans="2:8" s="5" customFormat="1" ht="14.1" customHeight="1">
      <c r="B37" s="40"/>
      <c r="C37" s="41"/>
      <c r="D37" s="58"/>
      <c r="E37" s="58"/>
      <c r="F37" s="58"/>
      <c r="G37" s="58"/>
      <c r="H37" s="58"/>
    </row>
    <row r="38" spans="2:8" s="5" customFormat="1" ht="14.1" customHeight="1">
      <c r="B38" s="2"/>
      <c r="C38" s="1"/>
    </row>
    <row r="39" spans="2:8" s="5" customFormat="1" ht="14.1" customHeight="1">
      <c r="B39" s="36" t="s">
        <v>39</v>
      </c>
      <c r="C39" s="36"/>
      <c r="D39" s="55" t="s">
        <v>40</v>
      </c>
      <c r="E39" s="55" t="s">
        <v>41</v>
      </c>
    </row>
    <row r="40" spans="2:8" s="5" customFormat="1" ht="14.1" customHeight="1">
      <c r="B40" s="227" t="s">
        <v>32</v>
      </c>
      <c r="C40" s="228">
        <f>$E40/$E$44</f>
        <v>1</v>
      </c>
      <c r="D40" s="229">
        <f>SUMPRODUCT($F$23:$F$24,$J$23:$J$24)</f>
        <v>997500</v>
      </c>
      <c r="E40" s="229">
        <f>$D40+($C$27-SUM(D$40:D$43))*($D40/$D$44)</f>
        <v>1000000</v>
      </c>
    </row>
    <row r="41" spans="2:8" s="5" customFormat="1" ht="14.1" customHeight="1">
      <c r="B41" s="227" t="s">
        <v>33</v>
      </c>
      <c r="C41" s="228">
        <f t="shared" ref="C41:C43" si="2">$E41/$E$44</f>
        <v>0</v>
      </c>
      <c r="D41" s="229">
        <f>SUMPRODUCT($F$23:$F$24,$K$23:$K$24)</f>
        <v>0</v>
      </c>
      <c r="E41" s="229">
        <f t="shared" ref="E41:E43" si="3">$D41+($C$27-SUM(D$40:D$43))*($D41/$D$44)</f>
        <v>0</v>
      </c>
    </row>
    <row r="42" spans="2:8" s="5" customFormat="1" ht="14.1" customHeight="1">
      <c r="B42" s="227" t="s">
        <v>34</v>
      </c>
      <c r="C42" s="228">
        <f t="shared" si="2"/>
        <v>0</v>
      </c>
      <c r="D42" s="229">
        <f>SUMPRODUCT($F$23:$F$24,$L$23:$L$24)</f>
        <v>0</v>
      </c>
      <c r="E42" s="229">
        <f t="shared" si="3"/>
        <v>0</v>
      </c>
    </row>
    <row r="43" spans="2:8" s="5" customFormat="1" ht="14.1" customHeight="1">
      <c r="B43" s="227" t="s">
        <v>35</v>
      </c>
      <c r="C43" s="228">
        <f t="shared" si="2"/>
        <v>0</v>
      </c>
      <c r="D43" s="229">
        <f>SUMPRODUCT($F$23:$F$24,$M$23:$M$24)</f>
        <v>0</v>
      </c>
      <c r="E43" s="229">
        <f t="shared" si="3"/>
        <v>0</v>
      </c>
    </row>
    <row r="44" spans="2:8" s="5" customFormat="1" ht="12.75" customHeight="1">
      <c r="B44" s="77" t="s">
        <v>10</v>
      </c>
      <c r="C44" s="85">
        <f>SUM(C40:C43)</f>
        <v>1</v>
      </c>
      <c r="D44" s="79">
        <f>SUM(D40:D43)</f>
        <v>997500</v>
      </c>
      <c r="E44" s="79">
        <f>SUM(E40:E43)</f>
        <v>1000000</v>
      </c>
    </row>
    <row r="45" spans="2:8" s="5" customFormat="1" ht="12.75" customHeight="1">
      <c r="B45" s="2"/>
      <c r="C45" s="2"/>
      <c r="D45" s="2"/>
      <c r="E45" s="76"/>
    </row>
    <row r="46" spans="2:8" s="5" customFormat="1" ht="12.75" customHeight="1">
      <c r="E46" s="20"/>
      <c r="F46" s="6"/>
    </row>
    <row r="47" spans="2:8" s="5" customFormat="1" ht="12.75" customHeight="1">
      <c r="E47" s="20"/>
    </row>
    <row r="48" spans="2:8" s="5" customFormat="1" ht="12.75" customHeight="1">
      <c r="D48" s="21"/>
      <c r="E48" s="20"/>
    </row>
    <row r="49" spans="4:253" s="5" customFormat="1" ht="12.75" customHeight="1">
      <c r="D49" s="21"/>
      <c r="E49" s="20"/>
    </row>
    <row r="50" spans="4:253" s="5" customFormat="1" ht="12.75" customHeight="1">
      <c r="E50" s="20"/>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row>
    <row r="51" spans="4:253" s="5" customFormat="1" ht="12.75" customHeight="1">
      <c r="D51" s="21"/>
      <c r="E51" s="20"/>
    </row>
    <row r="52" spans="4:253" s="5" customFormat="1" ht="12.75" customHeight="1">
      <c r="E52" s="20"/>
    </row>
    <row r="53" spans="4:253" ht="12.75" customHeight="1">
      <c r="E53" s="20"/>
    </row>
    <row r="54" spans="4:253" ht="12.75" customHeight="1">
      <c r="E54" s="4"/>
    </row>
    <row r="55" spans="4:253">
      <c r="E55" s="3"/>
    </row>
    <row r="67" spans="4:5">
      <c r="D67" s="3"/>
      <c r="E67" s="3"/>
    </row>
  </sheetData>
  <mergeCells count="4">
    <mergeCell ref="E4:F4"/>
    <mergeCell ref="E5:F5"/>
    <mergeCell ref="B13:H14"/>
    <mergeCell ref="B17:H18"/>
  </mergeCells>
  <dataValidations count="2">
    <dataValidation type="list" allowBlank="1" showInputMessage="1" showErrorMessage="1" sqref="E4" xr:uid="{00000000-0002-0000-0900-000000000000}">
      <formula1>enterprise</formula1>
    </dataValidation>
    <dataValidation type="list" allowBlank="1" showInputMessage="1" showErrorMessage="1" sqref="G23:G24" xr:uid="{00000000-0002-0000-0900-000001000000}">
      <formula1>allocation</formula1>
    </dataValidation>
  </dataValidations>
  <pageMargins left="0.7" right="0.7" top="0.75" bottom="0.75" header="0.3" footer="0.3"/>
  <pageSetup scale="94"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pageSetUpPr fitToPage="1"/>
  </sheetPr>
  <dimension ref="B2:IS71"/>
  <sheetViews>
    <sheetView workbookViewId="0">
      <selection activeCell="B17" sqref="B17:H18"/>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E39</f>
        <v>17000</v>
      </c>
      <c r="K2" s="120">
        <f t="shared" ref="K2:M2" si="0">F39</f>
        <v>16784</v>
      </c>
      <c r="L2" s="120">
        <f t="shared" si="0"/>
        <v>15750</v>
      </c>
      <c r="M2" s="120">
        <f t="shared" si="0"/>
        <v>23000</v>
      </c>
    </row>
    <row r="3" spans="2:13" ht="14.1" customHeight="1">
      <c r="B3" s="40"/>
      <c r="C3" s="40"/>
      <c r="D3" s="40"/>
      <c r="E3" s="40"/>
      <c r="F3" s="40"/>
      <c r="G3" s="40"/>
      <c r="H3" s="40"/>
      <c r="J3" s="121">
        <f>C44</f>
        <v>0.33</v>
      </c>
      <c r="K3" s="121"/>
      <c r="L3" s="121"/>
      <c r="M3" s="121"/>
    </row>
    <row r="4" spans="2:13" ht="23.25" customHeight="1">
      <c r="B4" s="40"/>
      <c r="C4" s="40"/>
      <c r="D4" s="40"/>
      <c r="E4" s="316" t="s">
        <v>118</v>
      </c>
      <c r="F4" s="316"/>
      <c r="G4" s="41"/>
      <c r="H4" s="40"/>
      <c r="J4" s="121">
        <f t="shared" ref="J4:J7" si="1">C45</f>
        <v>0.34</v>
      </c>
    </row>
    <row r="5" spans="2:13" ht="14.1" customHeight="1">
      <c r="B5" s="42"/>
      <c r="C5" s="42"/>
      <c r="D5" s="312" t="str">
        <f>'Operating Budget'!B71</f>
        <v>Communications</v>
      </c>
      <c r="E5" s="312"/>
      <c r="F5" s="312"/>
      <c r="G5" s="312"/>
      <c r="H5" s="43"/>
      <c r="J5" s="121">
        <f t="shared" si="1"/>
        <v>0.33</v>
      </c>
    </row>
    <row r="6" spans="2:13" ht="19.5" customHeight="1">
      <c r="B6" s="40"/>
      <c r="C6" s="40"/>
      <c r="D6" s="40"/>
      <c r="E6" s="40"/>
      <c r="H6" s="40"/>
      <c r="J6" s="121">
        <f t="shared" si="1"/>
        <v>0</v>
      </c>
    </row>
    <row r="7" spans="2:13" ht="14.1" hidden="1" customHeight="1">
      <c r="B7" s="40"/>
      <c r="C7" s="40"/>
      <c r="D7" s="40"/>
      <c r="E7" s="40"/>
      <c r="F7" s="44"/>
      <c r="G7" s="44"/>
      <c r="H7" s="40"/>
      <c r="J7" s="121">
        <f t="shared" si="1"/>
        <v>1</v>
      </c>
    </row>
    <row r="8" spans="2:13" ht="14.1" customHeight="1">
      <c r="B8" s="41" t="s">
        <v>2</v>
      </c>
      <c r="C8" s="40">
        <f>'Operating Budget'!C71</f>
        <v>5220</v>
      </c>
      <c r="D8" s="40"/>
      <c r="E8" s="40"/>
      <c r="F8" s="40"/>
      <c r="G8" s="40"/>
      <c r="H8" s="40"/>
    </row>
    <row r="9" spans="2:13" ht="14.1" customHeight="1">
      <c r="B9" s="41" t="s">
        <v>3</v>
      </c>
      <c r="C9" s="40">
        <f>INDEX('Operating Budget'!$A$11:$A$107,MATCH('39'!C8,'Operating Budget'!C11:C107))</f>
        <v>39</v>
      </c>
      <c r="D9" s="40"/>
      <c r="E9" s="40"/>
      <c r="F9" s="40"/>
      <c r="G9" s="40"/>
      <c r="H9" s="40"/>
      <c r="I9" s="6"/>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222</v>
      </c>
      <c r="C13" s="319"/>
      <c r="D13" s="319"/>
      <c r="E13" s="319"/>
      <c r="F13" s="319"/>
      <c r="G13" s="319"/>
      <c r="H13" s="319"/>
    </row>
    <row r="14" spans="2:13" ht="14.1" hidden="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t="s">
        <v>223</v>
      </c>
      <c r="C17" s="319"/>
      <c r="D17" s="319"/>
      <c r="E17" s="319"/>
      <c r="F17" s="319"/>
      <c r="G17" s="319"/>
      <c r="H17" s="319"/>
    </row>
    <row r="18" spans="2:13" ht="14.1" customHeight="1">
      <c r="B18" s="319"/>
      <c r="C18" s="319"/>
      <c r="D18" s="319"/>
      <c r="E18" s="319"/>
      <c r="F18" s="319"/>
      <c r="G18" s="319"/>
      <c r="H18" s="319"/>
      <c r="I18" s="259"/>
      <c r="J18" s="259"/>
    </row>
    <row r="19" spans="2:13" ht="14.1" customHeight="1">
      <c r="B19" s="310"/>
      <c r="C19" s="310"/>
      <c r="D19" s="310"/>
      <c r="E19" s="310"/>
      <c r="F19" s="310"/>
      <c r="G19" s="310"/>
      <c r="H19" s="310"/>
    </row>
    <row r="20" spans="2:13" s="5" customFormat="1" ht="14.1" customHeight="1">
      <c r="B20" s="36" t="s">
        <v>7</v>
      </c>
      <c r="C20" s="37"/>
      <c r="D20" s="37"/>
      <c r="E20" s="37"/>
      <c r="F20" s="37"/>
      <c r="G20" s="37"/>
      <c r="H20" s="38"/>
    </row>
    <row r="21" spans="2:13" s="5" customFormat="1" ht="14.1" customHeight="1">
      <c r="B21" s="40"/>
      <c r="C21" s="41"/>
      <c r="D21" s="40"/>
      <c r="E21" s="40"/>
      <c r="F21" s="40"/>
      <c r="G21" s="40"/>
      <c r="H21" s="40"/>
    </row>
    <row r="22" spans="2:13" s="5" customFormat="1" ht="14.1" customHeight="1">
      <c r="B22" s="67" t="str">
        <f>$D$5</f>
        <v>Communications</v>
      </c>
      <c r="C22" s="67"/>
      <c r="D22" s="68"/>
      <c r="E22" s="68"/>
      <c r="F22" s="68" t="s">
        <v>10</v>
      </c>
      <c r="G22" s="69" t="s">
        <v>31</v>
      </c>
      <c r="H22" s="40"/>
      <c r="J22" s="73" t="s">
        <v>32</v>
      </c>
      <c r="K22" s="73" t="s">
        <v>33</v>
      </c>
      <c r="L22" s="73" t="s">
        <v>34</v>
      </c>
      <c r="M22" s="73" t="s">
        <v>35</v>
      </c>
    </row>
    <row r="23" spans="2:13" s="5" customFormat="1" ht="14.1" customHeight="1">
      <c r="B23" s="5" t="s">
        <v>224</v>
      </c>
      <c r="C23" s="57"/>
      <c r="D23" s="80"/>
      <c r="E23" s="66"/>
      <c r="F23" s="66">
        <v>1950</v>
      </c>
      <c r="G23" s="71" t="s">
        <v>128</v>
      </c>
      <c r="H23" s="40"/>
      <c r="J23" s="74">
        <f>INDEX(MASTER!$C$25:$F$42,MATCH($G23,allocation,0),MATCH(J$22,MASTER!$C$24:$F$24,0))</f>
        <v>0.33</v>
      </c>
      <c r="K23" s="74">
        <f>INDEX(MASTER!$C$25:$F$42,MATCH($G23,allocation,0),MATCH(K$22,MASTER!$C$24:$F$24,0))</f>
        <v>0.34</v>
      </c>
      <c r="L23" s="74">
        <f>INDEX(MASTER!$C$25:$F$42,MATCH($G23,allocation,0),MATCH(L$22,MASTER!$C$24:$F$24,0))</f>
        <v>0.33</v>
      </c>
      <c r="M23" s="74">
        <f>INDEX(MASTER!$C$25:$F$42,MATCH($G23,allocation,0),MATCH(M$22,MASTER!$C$24:$F$24,0))</f>
        <v>0</v>
      </c>
    </row>
    <row r="24" spans="2:13" s="5" customFormat="1" ht="14.1" customHeight="1">
      <c r="B24" s="5" t="s">
        <v>225</v>
      </c>
      <c r="C24" s="57"/>
      <c r="D24" s="80"/>
      <c r="E24" s="66"/>
      <c r="F24" s="66">
        <v>700</v>
      </c>
      <c r="G24" s="81" t="s">
        <v>128</v>
      </c>
      <c r="H24" s="40"/>
      <c r="J24" s="74">
        <f>INDEX(MASTER!$C$25:$F$42,MATCH($G24,allocation,0),MATCH(J$22,MASTER!$C$24:$F$24,0))</f>
        <v>0.33</v>
      </c>
      <c r="K24" s="74">
        <f>INDEX(MASTER!$C$25:$F$42,MATCH($G24,allocation,0),MATCH(K$22,MASTER!$C$24:$F$24,0))</f>
        <v>0.34</v>
      </c>
      <c r="L24" s="74">
        <f>INDEX(MASTER!$C$25:$F$42,MATCH($G24,allocation,0),MATCH(L$22,MASTER!$C$24:$F$24,0))</f>
        <v>0.33</v>
      </c>
      <c r="M24" s="74">
        <f>INDEX(MASTER!$C$25:$F$42,MATCH($G24,allocation,0),MATCH(M$22,MASTER!$C$24:$F$24,0))</f>
        <v>0</v>
      </c>
    </row>
    <row r="25" spans="2:13" s="5" customFormat="1" ht="14.1" customHeight="1">
      <c r="B25" s="5" t="s">
        <v>226</v>
      </c>
      <c r="C25" s="57"/>
      <c r="D25" s="80"/>
      <c r="E25" s="66"/>
      <c r="F25" s="66">
        <v>900</v>
      </c>
      <c r="G25" s="81" t="s">
        <v>128</v>
      </c>
      <c r="H25" s="40"/>
      <c r="J25" s="74">
        <f>INDEX(MASTER!$C$25:$F$42,MATCH($G25,allocation,0),MATCH(J$22,MASTER!$C$24:$F$24,0))</f>
        <v>0.33</v>
      </c>
      <c r="K25" s="74">
        <f>INDEX(MASTER!$C$25:$F$42,MATCH($G25,allocation,0),MATCH(K$22,MASTER!$C$24:$F$24,0))</f>
        <v>0.34</v>
      </c>
      <c r="L25" s="74">
        <f>INDEX(MASTER!$C$25:$F$42,MATCH($G25,allocation,0),MATCH(L$22,MASTER!$C$24:$F$24,0))</f>
        <v>0.33</v>
      </c>
      <c r="M25" s="74">
        <f>INDEX(MASTER!$C$25:$F$42,MATCH($G25,allocation,0),MATCH(M$22,MASTER!$C$24:$F$24,0))</f>
        <v>0</v>
      </c>
    </row>
    <row r="26" spans="2:13" s="5" customFormat="1" ht="14.1" customHeight="1">
      <c r="B26" s="5" t="s">
        <v>227</v>
      </c>
      <c r="C26" s="57"/>
      <c r="D26" s="80"/>
      <c r="E26" s="66"/>
      <c r="F26" s="66">
        <v>3000</v>
      </c>
      <c r="G26" s="81" t="s">
        <v>128</v>
      </c>
      <c r="H26" s="40"/>
      <c r="J26" s="74">
        <f>INDEX(MASTER!$C$25:$F$42,MATCH($G26,allocation,0),MATCH(J$22,MASTER!$C$24:$F$24,0))</f>
        <v>0.33</v>
      </c>
      <c r="K26" s="74">
        <f>INDEX(MASTER!$C$25:$F$42,MATCH($G26,allocation,0),MATCH(K$22,MASTER!$C$24:$F$24,0))</f>
        <v>0.34</v>
      </c>
      <c r="L26" s="74">
        <f>INDEX(MASTER!$C$25:$F$42,MATCH($G26,allocation,0),MATCH(L$22,MASTER!$C$24:$F$24,0))</f>
        <v>0.33</v>
      </c>
      <c r="M26" s="74">
        <f>INDEX(MASTER!$C$25:$F$42,MATCH($G26,allocation,0),MATCH(M$22,MASTER!$C$24:$F$24,0))</f>
        <v>0</v>
      </c>
    </row>
    <row r="27" spans="2:13" s="5" customFormat="1" ht="14.1" customHeight="1">
      <c r="B27" s="5" t="s">
        <v>228</v>
      </c>
      <c r="C27" s="57"/>
      <c r="D27" s="80"/>
      <c r="E27" s="66"/>
      <c r="F27" s="66">
        <v>8700</v>
      </c>
      <c r="G27" s="81" t="s">
        <v>128</v>
      </c>
      <c r="H27" s="40"/>
      <c r="J27" s="74">
        <f>INDEX(MASTER!$C$25:$F$42,MATCH($G27,allocation,0),MATCH(J$22,MASTER!$C$24:$F$24,0))</f>
        <v>0.33</v>
      </c>
      <c r="K27" s="74">
        <f>INDEX(MASTER!$C$25:$F$42,MATCH($G27,allocation,0),MATCH(K$22,MASTER!$C$24:$F$24,0))</f>
        <v>0.34</v>
      </c>
      <c r="L27" s="74">
        <f>INDEX(MASTER!$C$25:$F$42,MATCH($G27,allocation,0),MATCH(L$22,MASTER!$C$24:$F$24,0))</f>
        <v>0.33</v>
      </c>
      <c r="M27" s="74">
        <f>INDEX(MASTER!$C$25:$F$42,MATCH($G27,allocation,0),MATCH(M$22,MASTER!$C$24:$F$24,0))</f>
        <v>0</v>
      </c>
    </row>
    <row r="28" spans="2:13" s="5" customFormat="1" ht="14.1" customHeight="1">
      <c r="B28" s="5" t="s">
        <v>229</v>
      </c>
      <c r="C28" s="57"/>
      <c r="D28" s="80"/>
      <c r="E28" s="66"/>
      <c r="F28" s="66">
        <v>2400</v>
      </c>
      <c r="G28" s="81" t="s">
        <v>128</v>
      </c>
      <c r="H28" s="40"/>
      <c r="J28" s="74">
        <f>INDEX(MASTER!$C$25:$F$42,MATCH($G28,allocation,0),MATCH(J$22,MASTER!$C$24:$F$24,0))</f>
        <v>0.33</v>
      </c>
      <c r="K28" s="74">
        <f>INDEX(MASTER!$C$25:$F$42,MATCH($G28,allocation,0),MATCH(K$22,MASTER!$C$24:$F$24,0))</f>
        <v>0.34</v>
      </c>
      <c r="L28" s="74">
        <f>INDEX(MASTER!$C$25:$F$42,MATCH($G28,allocation,0),MATCH(L$22,MASTER!$C$24:$F$24,0))</f>
        <v>0.33</v>
      </c>
      <c r="M28" s="74">
        <f>INDEX(MASTER!$C$25:$F$42,MATCH($G28,allocation,0),MATCH(M$22,MASTER!$C$24:$F$24,0))</f>
        <v>0</v>
      </c>
    </row>
    <row r="29" spans="2:13" s="5" customFormat="1" ht="14.1" customHeight="1">
      <c r="B29" s="5" t="s">
        <v>230</v>
      </c>
      <c r="C29" s="57"/>
      <c r="D29" s="80"/>
      <c r="E29" s="66"/>
      <c r="F29" s="66">
        <v>4200</v>
      </c>
      <c r="G29" s="81" t="s">
        <v>128</v>
      </c>
      <c r="H29" s="40"/>
      <c r="J29" s="74"/>
      <c r="K29" s="74"/>
      <c r="L29" s="74"/>
      <c r="M29" s="74"/>
    </row>
    <row r="30" spans="2:13" s="5" customFormat="1" ht="14.1" customHeight="1">
      <c r="B30" s="5" t="s">
        <v>231</v>
      </c>
      <c r="C30" s="57"/>
      <c r="D30" s="80"/>
      <c r="E30" s="66"/>
      <c r="F30" s="66">
        <v>1000</v>
      </c>
      <c r="G30" s="81" t="s">
        <v>128</v>
      </c>
      <c r="H30" s="40"/>
      <c r="J30" s="74">
        <f>INDEX(MASTER!$C$25:$F$42,MATCH($G30,allocation,0),MATCH(J$22,MASTER!$C$24:$F$24,0))</f>
        <v>0.33</v>
      </c>
      <c r="K30" s="74">
        <f>INDEX(MASTER!$C$25:$F$42,MATCH($G30,allocation,0),MATCH(K$22,MASTER!$C$24:$F$24,0))</f>
        <v>0.34</v>
      </c>
      <c r="L30" s="74">
        <f>INDEX(MASTER!$C$25:$F$42,MATCH($G30,allocation,0),MATCH(L$22,MASTER!$C$24:$F$24,0))</f>
        <v>0.33</v>
      </c>
      <c r="M30" s="74">
        <f>INDEX(MASTER!$C$25:$F$42,MATCH($G30,allocation,0),MATCH(M$22,MASTER!$C$24:$F$24,0))</f>
        <v>0</v>
      </c>
    </row>
    <row r="31" spans="2:13" s="5" customFormat="1" ht="14.1" customHeight="1" thickBot="1">
      <c r="B31" s="49" t="s">
        <v>10</v>
      </c>
      <c r="C31" s="49"/>
      <c r="D31" s="49"/>
      <c r="E31" s="49"/>
      <c r="F31" s="50">
        <f>SUM(F23:F30)</f>
        <v>22850</v>
      </c>
      <c r="G31" s="49"/>
      <c r="H31" s="40"/>
    </row>
    <row r="32" spans="2:13" s="5" customFormat="1" ht="14.1" customHeight="1" thickTop="1">
      <c r="B32" s="40"/>
      <c r="C32" s="41"/>
      <c r="G32" s="40"/>
      <c r="H32" s="40"/>
    </row>
    <row r="33" spans="2:8" s="5" customFormat="1" ht="14.1" customHeight="1">
      <c r="B33" s="41" t="s">
        <v>11</v>
      </c>
      <c r="C33" s="35">
        <f>ROUNDUP($F$31,-$B$34)</f>
        <v>23000</v>
      </c>
      <c r="F33" s="40"/>
      <c r="G33" s="40" t="s">
        <v>114</v>
      </c>
      <c r="H33" s="40"/>
    </row>
    <row r="34" spans="2:8" s="5" customFormat="1" ht="14.1" customHeight="1">
      <c r="B34" s="51">
        <v>3</v>
      </c>
      <c r="C34" s="41"/>
      <c r="D34" s="40"/>
      <c r="E34" s="40"/>
      <c r="F34" s="40"/>
      <c r="G34" s="40"/>
      <c r="H34" s="40"/>
    </row>
    <row r="35" spans="2:8" s="5" customFormat="1" ht="14.1" customHeight="1">
      <c r="B35" s="40"/>
      <c r="C35" s="41"/>
      <c r="D35" s="40"/>
      <c r="E35" s="40"/>
      <c r="F35" s="40"/>
      <c r="G35" s="40"/>
      <c r="H35" s="40"/>
    </row>
    <row r="36" spans="2:8" s="5" customFormat="1" ht="14.1" customHeight="1">
      <c r="B36" s="40"/>
      <c r="C36" s="41"/>
      <c r="D36" s="40"/>
      <c r="E36" s="53" t="s">
        <v>12</v>
      </c>
      <c r="F36" s="54" t="s">
        <v>13</v>
      </c>
      <c r="G36" s="54" t="s">
        <v>14</v>
      </c>
      <c r="H36" s="55" t="s">
        <v>15</v>
      </c>
    </row>
    <row r="37" spans="2:8" s="5" customFormat="1" ht="14.1" customHeight="1">
      <c r="B37" s="36"/>
      <c r="C37" s="36"/>
      <c r="D37" s="36"/>
      <c r="E37" s="53" t="str">
        <f>"FY "&amp;MASTER!$B$4-1&amp;" - "&amp;MASTER!$B$4</f>
        <v>FY 2020 - 2021</v>
      </c>
      <c r="F37" s="56">
        <f>MASTER!$B$6</f>
        <v>44255</v>
      </c>
      <c r="G37" s="54" t="str">
        <f>"June "&amp;MASTER!$B$4</f>
        <v>June 2021</v>
      </c>
      <c r="H37" s="55" t="str">
        <f>"FY "&amp;MASTER!$B$4&amp;" - "&amp;MASTER!$B$5</f>
        <v>FY 2021 - 2022</v>
      </c>
    </row>
    <row r="38" spans="2:8" s="5" customFormat="1" ht="14.1" customHeight="1">
      <c r="B38" s="57"/>
      <c r="C38" s="57"/>
      <c r="D38" s="58"/>
      <c r="E38" s="59"/>
      <c r="F38" s="60"/>
      <c r="G38" s="60"/>
      <c r="H38" s="58"/>
    </row>
    <row r="39" spans="2:8" s="5" customFormat="1" ht="14.1" customHeight="1">
      <c r="B39" s="40" t="str">
        <f>$D$5</f>
        <v>Communications</v>
      </c>
      <c r="C39" s="41"/>
      <c r="D39" s="58"/>
      <c r="E39" s="61">
        <v>17000</v>
      </c>
      <c r="F39" s="62">
        <v>16784</v>
      </c>
      <c r="G39" s="62">
        <v>15750</v>
      </c>
      <c r="H39" s="63">
        <f>$C$33</f>
        <v>23000</v>
      </c>
    </row>
    <row r="40" spans="2:8" s="5" customFormat="1" ht="14.1" customHeight="1">
      <c r="B40" s="40"/>
      <c r="C40" s="41"/>
      <c r="D40" s="58"/>
      <c r="E40" s="59"/>
      <c r="F40" s="59"/>
      <c r="G40" s="58"/>
      <c r="H40" s="82"/>
    </row>
    <row r="41" spans="2:8" s="5" customFormat="1" ht="14.1" customHeight="1">
      <c r="B41" s="40"/>
      <c r="C41" s="41"/>
      <c r="D41" s="58"/>
      <c r="E41" s="58"/>
      <c r="F41" s="58"/>
      <c r="G41" s="58"/>
      <c r="H41" s="63"/>
    </row>
    <row r="42" spans="2:8" s="5" customFormat="1" ht="14.1" customHeight="1">
      <c r="B42" s="2"/>
      <c r="C42" s="1"/>
    </row>
    <row r="43" spans="2:8" s="5" customFormat="1" ht="14.1" customHeight="1">
      <c r="B43" s="36" t="s">
        <v>39</v>
      </c>
      <c r="C43" s="36"/>
      <c r="D43" s="55" t="s">
        <v>40</v>
      </c>
      <c r="E43" s="55" t="s">
        <v>41</v>
      </c>
    </row>
    <row r="44" spans="2:8" s="5" customFormat="1" ht="14.1" customHeight="1">
      <c r="B44" s="75" t="s">
        <v>32</v>
      </c>
      <c r="C44" s="84">
        <f>E44/E48</f>
        <v>0.33</v>
      </c>
      <c r="D44" s="78">
        <f>SUMPRODUCT($F$23:$F$30,$J$23:$J$30)</f>
        <v>6154.5</v>
      </c>
      <c r="E44" s="78">
        <f>$D44+($C$33-SUM($D$44:$D$47))*($D44/$D$48)</f>
        <v>7590</v>
      </c>
    </row>
    <row r="45" spans="2:8" s="5" customFormat="1" ht="14.1" customHeight="1">
      <c r="B45" s="75" t="s">
        <v>33</v>
      </c>
      <c r="C45" s="84">
        <f>E45/E48</f>
        <v>0.34</v>
      </c>
      <c r="D45" s="78">
        <f>SUMPRODUCT($F$23:$F$30,$K$23:$K$30)</f>
        <v>6341</v>
      </c>
      <c r="E45" s="78">
        <f>$D45+($C$33-SUM($D$44:$D$47))*($D45/$D$48)</f>
        <v>7820</v>
      </c>
    </row>
    <row r="46" spans="2:8" s="5" customFormat="1" ht="14.1" customHeight="1">
      <c r="B46" s="75" t="s">
        <v>34</v>
      </c>
      <c r="C46" s="84">
        <f>E46/E48</f>
        <v>0.33</v>
      </c>
      <c r="D46" s="78">
        <f>SUMPRODUCT($F$23:$F$30,$L$23:$L$30)</f>
        <v>6154.5</v>
      </c>
      <c r="E46" s="78">
        <f>$D46+($C$33-SUM($D$44:$D$47))*($D46/$D$48)</f>
        <v>7590</v>
      </c>
    </row>
    <row r="47" spans="2:8" s="5" customFormat="1" ht="14.1" customHeight="1">
      <c r="B47" s="75" t="s">
        <v>35</v>
      </c>
      <c r="C47" s="84">
        <f>E47/E48</f>
        <v>0</v>
      </c>
      <c r="D47" s="78">
        <f>SUMPRODUCT($F$23:$F$30,$M$23:$M$30)</f>
        <v>0</v>
      </c>
      <c r="E47" s="78">
        <f>$D47+($C$33-SUM($D$44:$D$47))*($D47/$D$48)</f>
        <v>0</v>
      </c>
    </row>
    <row r="48" spans="2:8" s="5" customFormat="1" ht="12.75" customHeight="1">
      <c r="B48" s="77" t="s">
        <v>10</v>
      </c>
      <c r="C48" s="85">
        <f>SUM(C44:C47)</f>
        <v>1</v>
      </c>
      <c r="D48" s="79">
        <f>SUM(D44:D47)</f>
        <v>18650</v>
      </c>
      <c r="E48" s="79">
        <f>SUM(E44:E47)</f>
        <v>23000</v>
      </c>
    </row>
    <row r="49" spans="2:253" s="5" customFormat="1" ht="12.75" customHeight="1">
      <c r="B49" s="2"/>
      <c r="C49" s="2"/>
      <c r="D49" s="2"/>
      <c r="E49" s="76"/>
    </row>
    <row r="50" spans="2:253" s="5" customFormat="1" ht="12.75" customHeight="1">
      <c r="E50" s="20"/>
      <c r="F50" s="6"/>
    </row>
    <row r="51" spans="2:253" s="5" customFormat="1" ht="12.75" customHeight="1">
      <c r="E51" s="20"/>
    </row>
    <row r="52" spans="2:253" s="5" customFormat="1" ht="12.75" customHeight="1">
      <c r="D52" s="21"/>
      <c r="E52" s="20"/>
    </row>
    <row r="53" spans="2:253" s="5" customFormat="1" ht="12.75" customHeight="1">
      <c r="D53" s="21"/>
      <c r="E53" s="20"/>
    </row>
    <row r="54" spans="2:253" s="5" customFormat="1" ht="12.75" customHeight="1">
      <c r="E54" s="20"/>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row>
    <row r="55" spans="2:253" s="5" customFormat="1" ht="12.75" customHeight="1">
      <c r="D55" s="21"/>
      <c r="E55" s="20"/>
    </row>
    <row r="56" spans="2:253" s="5" customFormat="1" ht="12.75" customHeight="1">
      <c r="E56" s="20"/>
    </row>
    <row r="57" spans="2:253" ht="12.75" customHeight="1">
      <c r="E57" s="20"/>
    </row>
    <row r="58" spans="2:253" ht="12.75" customHeight="1">
      <c r="E58" s="4"/>
    </row>
    <row r="59" spans="2:253">
      <c r="E59" s="3"/>
    </row>
    <row r="71" spans="4:5">
      <c r="D71" s="3"/>
      <c r="E71" s="3"/>
    </row>
  </sheetData>
  <mergeCells count="4">
    <mergeCell ref="E4:F4"/>
    <mergeCell ref="D5:G5"/>
    <mergeCell ref="B13:H14"/>
    <mergeCell ref="B17:H18"/>
  </mergeCells>
  <dataValidations count="2">
    <dataValidation type="list" allowBlank="1" showInputMessage="1" showErrorMessage="1" sqref="E4" xr:uid="{00000000-0002-0000-2D00-000000000000}">
      <formula1>enterprise</formula1>
    </dataValidation>
    <dataValidation type="list" allowBlank="1" showInputMessage="1" showErrorMessage="1" sqref="G23:G30" xr:uid="{00000000-0002-0000-2D00-000001000000}">
      <formula1>allocation</formula1>
    </dataValidation>
  </dataValidations>
  <pageMargins left="0.7" right="0.7" top="0.75" bottom="0.75" header="0.3" footer="0.3"/>
  <pageSetup scale="94"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6">
    <pageSetUpPr fitToPage="1"/>
  </sheetPr>
  <dimension ref="B2:IS63"/>
  <sheetViews>
    <sheetView topLeftCell="B1" workbookViewId="0">
      <selection activeCell="H33" sqref="H33"/>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E31</f>
        <v>6000</v>
      </c>
      <c r="K2" s="120">
        <f t="shared" ref="K2:M2" si="0">F31</f>
        <v>2166</v>
      </c>
      <c r="L2" s="120">
        <f t="shared" si="0"/>
        <v>5000</v>
      </c>
      <c r="M2" s="120">
        <f t="shared" si="0"/>
        <v>6000</v>
      </c>
    </row>
    <row r="3" spans="2:13" ht="14.1" customHeight="1">
      <c r="B3" s="40"/>
      <c r="C3" s="40"/>
      <c r="D3" s="40"/>
      <c r="E3" s="40"/>
      <c r="F3" s="40"/>
      <c r="G3" s="40"/>
      <c r="H3" s="40"/>
      <c r="J3" s="121">
        <f>C36</f>
        <v>0.33</v>
      </c>
      <c r="K3" s="121"/>
      <c r="L3" s="121"/>
      <c r="M3" s="121"/>
    </row>
    <row r="4" spans="2:13" ht="23.25" customHeight="1">
      <c r="B4" s="40"/>
      <c r="C4" s="40"/>
      <c r="D4" s="40"/>
      <c r="E4" s="316" t="s">
        <v>118</v>
      </c>
      <c r="F4" s="316"/>
      <c r="G4" s="41"/>
      <c r="H4" s="40"/>
      <c r="J4" s="121">
        <f t="shared" ref="J4:J6" si="1">C37</f>
        <v>0.34</v>
      </c>
    </row>
    <row r="5" spans="2:13" ht="14.1" customHeight="1">
      <c r="B5" s="42"/>
      <c r="C5" s="42"/>
      <c r="D5" s="312" t="str">
        <f>'Operating Budget'!B72</f>
        <v>Printing &amp; Publications</v>
      </c>
      <c r="E5" s="312"/>
      <c r="F5" s="312"/>
      <c r="G5" s="312"/>
      <c r="H5" s="43"/>
      <c r="J5" s="121">
        <f t="shared" si="1"/>
        <v>0.33</v>
      </c>
    </row>
    <row r="6" spans="2:13" ht="19.5" customHeight="1">
      <c r="B6" s="40"/>
      <c r="C6" s="40"/>
      <c r="D6" s="40"/>
      <c r="E6" s="40"/>
      <c r="H6" s="40"/>
      <c r="J6" s="121">
        <f t="shared" si="1"/>
        <v>0</v>
      </c>
    </row>
    <row r="7" spans="2:13" ht="14.1" hidden="1" customHeight="1">
      <c r="B7" s="40"/>
      <c r="C7" s="40"/>
      <c r="D7" s="40"/>
      <c r="E7" s="40"/>
      <c r="F7" s="44"/>
      <c r="G7" s="44"/>
      <c r="H7" s="40"/>
    </row>
    <row r="8" spans="2:13" ht="14.1" customHeight="1">
      <c r="B8" s="41" t="s">
        <v>2</v>
      </c>
      <c r="C8" s="40">
        <f>'Operating Budget'!C72</f>
        <v>5230</v>
      </c>
      <c r="D8" s="40"/>
      <c r="E8" s="40"/>
      <c r="F8" s="40"/>
      <c r="G8" s="40"/>
      <c r="H8" s="40"/>
    </row>
    <row r="9" spans="2:13" ht="14.1" customHeight="1">
      <c r="B9" s="41" t="s">
        <v>3</v>
      </c>
      <c r="C9" s="40">
        <f>INDEX('Operating Budget'!$A$11:$A$107,MATCH('40'!C8,'Operating Budget'!C11:C107))</f>
        <v>40</v>
      </c>
      <c r="D9" s="40"/>
      <c r="E9" s="40"/>
      <c r="F9" s="40"/>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232</v>
      </c>
      <c r="C13" s="319"/>
      <c r="D13" s="319"/>
      <c r="E13" s="319"/>
      <c r="F13" s="319"/>
      <c r="G13" s="319"/>
      <c r="H13" s="319"/>
    </row>
    <row r="14" spans="2:13" ht="14.1" hidden="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t="s">
        <v>43</v>
      </c>
      <c r="C17" s="319"/>
      <c r="D17" s="319"/>
      <c r="E17" s="319"/>
      <c r="F17" s="319"/>
      <c r="G17" s="319"/>
      <c r="H17" s="319"/>
    </row>
    <row r="18" spans="2:13" ht="14.1" customHeight="1">
      <c r="B18" s="310"/>
      <c r="C18" s="310"/>
      <c r="D18" s="310"/>
      <c r="E18" s="310"/>
      <c r="F18" s="310"/>
      <c r="G18" s="310"/>
      <c r="H18" s="310"/>
    </row>
    <row r="19" spans="2:13" s="5" customFormat="1" ht="14.1" customHeight="1">
      <c r="B19" s="36" t="s">
        <v>7</v>
      </c>
      <c r="C19" s="37"/>
      <c r="D19" s="37"/>
      <c r="E19" s="37"/>
      <c r="F19" s="37"/>
      <c r="G19" s="37"/>
      <c r="H19" s="38"/>
    </row>
    <row r="20" spans="2:13" s="5" customFormat="1" ht="14.1" customHeight="1">
      <c r="B20" s="40"/>
      <c r="C20" s="41"/>
      <c r="D20" s="40"/>
      <c r="E20" s="40"/>
      <c r="F20" s="40"/>
      <c r="G20" s="40"/>
      <c r="H20" s="40"/>
    </row>
    <row r="21" spans="2:13" s="5" customFormat="1" ht="14.1" customHeight="1">
      <c r="B21" s="67" t="str">
        <f>$D$5</f>
        <v>Printing &amp; Publications</v>
      </c>
      <c r="C21" s="67"/>
      <c r="D21" s="68"/>
      <c r="E21" s="68"/>
      <c r="F21" s="68" t="s">
        <v>10</v>
      </c>
      <c r="G21" s="69" t="s">
        <v>31</v>
      </c>
      <c r="H21" s="40"/>
      <c r="J21" s="73" t="s">
        <v>32</v>
      </c>
      <c r="K21" s="73" t="s">
        <v>33</v>
      </c>
      <c r="L21" s="73" t="s">
        <v>34</v>
      </c>
      <c r="M21" s="73" t="s">
        <v>35</v>
      </c>
    </row>
    <row r="22" spans="2:13" s="5" customFormat="1" ht="14.1" customHeight="1">
      <c r="B22" s="64" t="s">
        <v>233</v>
      </c>
      <c r="C22" s="57"/>
      <c r="D22" s="80"/>
      <c r="E22" s="66"/>
      <c r="F22" s="66">
        <v>6000</v>
      </c>
      <c r="G22" s="71" t="s">
        <v>128</v>
      </c>
      <c r="H22" s="40"/>
      <c r="J22" s="74">
        <f>INDEX(MASTER!$C$25:$F$42,MATCH($G22,allocation,0),MATCH(J$21,MASTER!$C$24:$F$24,0))</f>
        <v>0.33</v>
      </c>
      <c r="K22" s="74">
        <f>INDEX(MASTER!$C$25:$F$42,MATCH($G22,allocation,0),MATCH(K$21,MASTER!$C$24:$F$24,0))</f>
        <v>0.34</v>
      </c>
      <c r="L22" s="74">
        <f>INDEX(MASTER!$C$25:$F$42,MATCH($G22,allocation,0),MATCH(L$21,MASTER!$C$24:$F$24,0))</f>
        <v>0.33</v>
      </c>
      <c r="M22" s="74">
        <f>INDEX(MASTER!$C$25:$F$42,MATCH($G22,allocation,0),MATCH(M$21,MASTER!$C$24:$F$24,0))</f>
        <v>0</v>
      </c>
    </row>
    <row r="23" spans="2:13" s="5" customFormat="1" ht="14.1" customHeight="1" thickBot="1">
      <c r="B23" s="49" t="s">
        <v>10</v>
      </c>
      <c r="C23" s="49"/>
      <c r="D23" s="49"/>
      <c r="E23" s="49"/>
      <c r="F23" s="50">
        <f>SUM(F22:F22)</f>
        <v>6000</v>
      </c>
      <c r="G23" s="49"/>
      <c r="H23" s="40"/>
    </row>
    <row r="24" spans="2:13" s="5" customFormat="1" ht="14.1" customHeight="1" thickTop="1">
      <c r="B24" s="40"/>
      <c r="C24" s="41"/>
      <c r="G24" s="40"/>
      <c r="H24" s="40"/>
    </row>
    <row r="25" spans="2:13" s="5" customFormat="1" ht="14.1" customHeight="1">
      <c r="B25" s="41" t="s">
        <v>11</v>
      </c>
      <c r="C25" s="35">
        <f>ROUNDUP($F$23,-$B$26)</f>
        <v>6000</v>
      </c>
      <c r="F25" s="40"/>
      <c r="G25" s="40"/>
      <c r="H25" s="40"/>
    </row>
    <row r="26" spans="2:13" s="5" customFormat="1" ht="14.1" customHeight="1">
      <c r="B26" s="51">
        <v>3</v>
      </c>
      <c r="C26" s="41"/>
      <c r="D26" s="40"/>
      <c r="E26" s="40"/>
      <c r="F26" s="40"/>
      <c r="G26" s="40"/>
      <c r="H26" s="40"/>
    </row>
    <row r="27" spans="2:13" s="5" customFormat="1" ht="14.1" customHeight="1">
      <c r="B27" s="40"/>
      <c r="C27" s="41"/>
      <c r="D27" s="40"/>
      <c r="E27" s="40"/>
      <c r="F27" s="40"/>
      <c r="G27" s="40"/>
      <c r="H27" s="40"/>
    </row>
    <row r="28" spans="2:13" s="5" customFormat="1" ht="14.1" customHeight="1">
      <c r="B28" s="40"/>
      <c r="C28" s="41"/>
      <c r="D28" s="40"/>
      <c r="E28" s="53" t="s">
        <v>12</v>
      </c>
      <c r="F28" s="54" t="s">
        <v>13</v>
      </c>
      <c r="G28" s="54" t="s">
        <v>14</v>
      </c>
      <c r="H28" s="55" t="s">
        <v>15</v>
      </c>
    </row>
    <row r="29" spans="2:13" s="5" customFormat="1" ht="14.1" customHeight="1">
      <c r="B29" s="36"/>
      <c r="C29" s="36"/>
      <c r="D29" s="36"/>
      <c r="E29" s="53" t="str">
        <f>"FY "&amp;MASTER!$B$4-1&amp;" - "&amp;MASTER!$B$4</f>
        <v>FY 2020 - 2021</v>
      </c>
      <c r="F29" s="56">
        <f>MASTER!$B$6</f>
        <v>44255</v>
      </c>
      <c r="G29" s="54" t="str">
        <f>"June "&amp;MASTER!$B$4</f>
        <v>June 2021</v>
      </c>
      <c r="H29" s="55" t="str">
        <f>"FY "&amp;MASTER!$B$4&amp;" - "&amp;MASTER!$B$5</f>
        <v>FY 2021 - 2022</v>
      </c>
    </row>
    <row r="30" spans="2:13" s="5" customFormat="1" ht="14.1" customHeight="1">
      <c r="B30" s="57"/>
      <c r="C30" s="57"/>
      <c r="D30" s="58"/>
      <c r="E30" s="59"/>
      <c r="F30" s="60"/>
      <c r="G30" s="60"/>
      <c r="H30" s="58"/>
    </row>
    <row r="31" spans="2:13" s="5" customFormat="1" ht="14.1" customHeight="1">
      <c r="B31" s="40" t="str">
        <f>$D$5</f>
        <v>Printing &amp; Publications</v>
      </c>
      <c r="C31" s="41"/>
      <c r="D31" s="58"/>
      <c r="E31" s="61">
        <v>6000</v>
      </c>
      <c r="F31" s="62">
        <v>2166</v>
      </c>
      <c r="G31" s="62">
        <v>5000</v>
      </c>
      <c r="H31" s="63">
        <f>$C$25</f>
        <v>6000</v>
      </c>
    </row>
    <row r="32" spans="2:13" s="5" customFormat="1" ht="14.1" customHeight="1">
      <c r="B32" s="40"/>
      <c r="C32" s="41"/>
      <c r="D32" s="58"/>
      <c r="E32" s="59"/>
      <c r="F32" s="59"/>
      <c r="G32" s="58"/>
      <c r="H32" s="82"/>
    </row>
    <row r="33" spans="2:253" s="5" customFormat="1" ht="14.1" customHeight="1">
      <c r="B33" s="40"/>
      <c r="C33" s="41"/>
      <c r="D33" s="58"/>
      <c r="E33" s="58"/>
      <c r="F33" s="58"/>
      <c r="G33" s="58"/>
      <c r="H33" s="63"/>
    </row>
    <row r="34" spans="2:253" s="5" customFormat="1" ht="14.1" customHeight="1">
      <c r="B34" s="2"/>
      <c r="C34" s="1"/>
    </row>
    <row r="35" spans="2:253" s="5" customFormat="1" ht="14.1" customHeight="1">
      <c r="B35" s="36" t="s">
        <v>39</v>
      </c>
      <c r="C35" s="36"/>
      <c r="D35" s="55" t="s">
        <v>40</v>
      </c>
      <c r="E35" s="55" t="s">
        <v>41</v>
      </c>
    </row>
    <row r="36" spans="2:253" s="5" customFormat="1" ht="14.1" customHeight="1">
      <c r="B36" s="75" t="s">
        <v>32</v>
      </c>
      <c r="C36" s="84">
        <f>E36/E40</f>
        <v>0.33</v>
      </c>
      <c r="D36" s="78">
        <f>SUMPRODUCT($F$22:$F$22,$J$22:$J$22)</f>
        <v>1980</v>
      </c>
      <c r="E36" s="78">
        <f>$D36+($C$25-SUM($D$36:$D$39))*($D36/$D$40)</f>
        <v>1980</v>
      </c>
    </row>
    <row r="37" spans="2:253" s="5" customFormat="1" ht="14.1" customHeight="1">
      <c r="B37" s="75" t="s">
        <v>33</v>
      </c>
      <c r="C37" s="84">
        <f>E37/E40</f>
        <v>0.34</v>
      </c>
      <c r="D37" s="78">
        <f>SUMPRODUCT($F$22:$F$22,$K$22:$K$22)</f>
        <v>2040.0000000000002</v>
      </c>
      <c r="E37" s="78">
        <f>$D37+($C$25-SUM($D$36:$D$39))*($D37/$D$40)</f>
        <v>2040.0000000000002</v>
      </c>
    </row>
    <row r="38" spans="2:253" s="5" customFormat="1" ht="14.1" customHeight="1">
      <c r="B38" s="75" t="s">
        <v>34</v>
      </c>
      <c r="C38" s="84">
        <f>E38/E40</f>
        <v>0.33</v>
      </c>
      <c r="D38" s="78">
        <f>SUMPRODUCT($F$22:$F$22,$L$22:$L$22)</f>
        <v>1980</v>
      </c>
      <c r="E38" s="78">
        <f>$D38+($C$25-SUM($D$36:$D$39))*($D38/$D$40)</f>
        <v>1980</v>
      </c>
    </row>
    <row r="39" spans="2:253" s="5" customFormat="1" ht="14.1" customHeight="1">
      <c r="B39" s="75" t="s">
        <v>35</v>
      </c>
      <c r="C39" s="84">
        <f>E39/E40</f>
        <v>0</v>
      </c>
      <c r="D39" s="78">
        <f>SUMPRODUCT($F$22:$F$22,$M$22:$M$22)</f>
        <v>0</v>
      </c>
      <c r="E39" s="78">
        <f>$D39+($C$25-SUM($D$36:$D$39))*($D39/$D$40)</f>
        <v>0</v>
      </c>
    </row>
    <row r="40" spans="2:253" s="5" customFormat="1" ht="12.75" customHeight="1">
      <c r="B40" s="77" t="s">
        <v>10</v>
      </c>
      <c r="C40" s="85">
        <f>SUM(C36:C39)</f>
        <v>1</v>
      </c>
      <c r="D40" s="79">
        <f>SUM(D36:D39)</f>
        <v>6000</v>
      </c>
      <c r="E40" s="79">
        <f>SUM(E36:E39)</f>
        <v>6000</v>
      </c>
    </row>
    <row r="41" spans="2:253" s="5" customFormat="1" ht="12.75" customHeight="1">
      <c r="B41" s="2"/>
      <c r="C41" s="2"/>
      <c r="D41" s="2"/>
      <c r="E41" s="76"/>
    </row>
    <row r="42" spans="2:253" s="5" customFormat="1" ht="12.75" customHeight="1">
      <c r="E42" s="20"/>
      <c r="F42" s="6"/>
    </row>
    <row r="43" spans="2:253" s="5" customFormat="1" ht="12.75" customHeight="1">
      <c r="E43" s="20"/>
    </row>
    <row r="44" spans="2:253" s="5" customFormat="1" ht="12.75" customHeight="1">
      <c r="D44" s="21"/>
      <c r="E44" s="20"/>
    </row>
    <row r="45" spans="2:253" s="5" customFormat="1" ht="12.75" customHeight="1">
      <c r="D45" s="21"/>
      <c r="E45" s="20"/>
    </row>
    <row r="46" spans="2:253" s="5" customFormat="1" ht="12.75" customHeight="1">
      <c r="E46" s="20"/>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row>
    <row r="47" spans="2:253" s="5" customFormat="1" ht="12.75" customHeight="1">
      <c r="D47" s="21"/>
      <c r="E47" s="20"/>
    </row>
    <row r="48" spans="2:253" s="5" customFormat="1" ht="12.75" customHeight="1">
      <c r="E48" s="20"/>
    </row>
    <row r="49" spans="4:5" ht="12.75" customHeight="1">
      <c r="E49" s="20"/>
    </row>
    <row r="50" spans="4:5" ht="12.75" customHeight="1">
      <c r="E50" s="4"/>
    </row>
    <row r="51" spans="4:5">
      <c r="E51" s="3"/>
    </row>
    <row r="63" spans="4:5">
      <c r="D63" s="3"/>
      <c r="E63" s="3"/>
    </row>
  </sheetData>
  <mergeCells count="4">
    <mergeCell ref="E4:F4"/>
    <mergeCell ref="D5:G5"/>
    <mergeCell ref="B13:H14"/>
    <mergeCell ref="B17:H17"/>
  </mergeCells>
  <dataValidations count="2">
    <dataValidation type="list" allowBlank="1" showInputMessage="1" showErrorMessage="1" sqref="E4" xr:uid="{00000000-0002-0000-2E00-000000000000}">
      <formula1>enterprise</formula1>
    </dataValidation>
    <dataValidation type="list" allowBlank="1" showInputMessage="1" showErrorMessage="1" sqref="G22" xr:uid="{00000000-0002-0000-2E00-000001000000}">
      <formula1>allocation</formula1>
    </dataValidation>
  </dataValidations>
  <pageMargins left="0.7" right="0.7" top="0.75" bottom="0.75" header="0.3" footer="0.3"/>
  <pageSetup scale="94"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7">
    <pageSetUpPr fitToPage="1"/>
  </sheetPr>
  <dimension ref="B2:IS63"/>
  <sheetViews>
    <sheetView workbookViewId="0">
      <selection activeCell="G33" sqref="G33"/>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E31</f>
        <v>12000</v>
      </c>
      <c r="K2" s="120">
        <f t="shared" ref="K2:M2" si="0">F31</f>
        <v>8040</v>
      </c>
      <c r="L2" s="120">
        <f t="shared" si="0"/>
        <v>11000</v>
      </c>
      <c r="M2" s="120">
        <f t="shared" si="0"/>
        <v>12000</v>
      </c>
    </row>
    <row r="3" spans="2:13" ht="14.1" customHeight="1">
      <c r="B3" s="40"/>
      <c r="C3" s="40"/>
      <c r="D3" s="40"/>
      <c r="E3" s="40"/>
      <c r="F3" s="40"/>
      <c r="G3" s="40"/>
      <c r="H3" s="40"/>
      <c r="J3" s="121">
        <f>C36</f>
        <v>0.33</v>
      </c>
      <c r="K3" s="121"/>
      <c r="L3" s="121"/>
      <c r="M3" s="121"/>
    </row>
    <row r="4" spans="2:13" ht="23.25" customHeight="1">
      <c r="B4" s="40"/>
      <c r="C4" s="40"/>
      <c r="D4" s="40"/>
      <c r="E4" s="316" t="s">
        <v>118</v>
      </c>
      <c r="F4" s="316"/>
      <c r="G4" s="41"/>
      <c r="H4" s="40"/>
      <c r="J4" s="121">
        <f t="shared" ref="J4:J6" si="1">C37</f>
        <v>0.34</v>
      </c>
    </row>
    <row r="5" spans="2:13" ht="14.1" customHeight="1">
      <c r="B5" s="42"/>
      <c r="C5" s="42"/>
      <c r="D5" s="312" t="str">
        <f>'Operating Budget'!B73</f>
        <v>Postage &amp; Shipping</v>
      </c>
      <c r="E5" s="312"/>
      <c r="F5" s="312"/>
      <c r="G5" s="312"/>
      <c r="H5" s="43"/>
      <c r="J5" s="121">
        <f t="shared" si="1"/>
        <v>0.33</v>
      </c>
    </row>
    <row r="6" spans="2:13" ht="19.5" customHeight="1">
      <c r="B6" s="40"/>
      <c r="C6" s="40"/>
      <c r="D6" s="40"/>
      <c r="E6" s="40"/>
      <c r="H6" s="40"/>
      <c r="J6" s="121">
        <f t="shared" si="1"/>
        <v>0</v>
      </c>
    </row>
    <row r="7" spans="2:13" ht="14.1" hidden="1" customHeight="1">
      <c r="B7" s="40"/>
      <c r="C7" s="40"/>
      <c r="D7" s="40"/>
      <c r="E7" s="40"/>
      <c r="F7" s="44"/>
      <c r="G7" s="44"/>
      <c r="H7" s="40"/>
    </row>
    <row r="8" spans="2:13" ht="14.1" customHeight="1">
      <c r="B8" s="41" t="s">
        <v>2</v>
      </c>
      <c r="C8" s="40">
        <f>'Operating Budget'!C73</f>
        <v>5240</v>
      </c>
      <c r="D8" s="40"/>
      <c r="E8" s="40"/>
      <c r="F8" s="40"/>
      <c r="G8" s="40"/>
      <c r="H8" s="40"/>
    </row>
    <row r="9" spans="2:13" ht="14.1" customHeight="1">
      <c r="B9" s="41" t="s">
        <v>3</v>
      </c>
      <c r="C9" s="40">
        <f>INDEX('Operating Budget'!$A$11:$A$107,MATCH('41'!C8,'Operating Budget'!C11:C107))</f>
        <v>41</v>
      </c>
      <c r="D9" s="40"/>
      <c r="E9" s="40"/>
      <c r="F9" s="40"/>
      <c r="G9" s="40"/>
      <c r="H9" s="40"/>
      <c r="J9" s="6"/>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234</v>
      </c>
      <c r="C13" s="319"/>
      <c r="D13" s="319"/>
      <c r="E13" s="319"/>
      <c r="F13" s="319"/>
      <c r="G13" s="319"/>
      <c r="H13" s="319"/>
    </row>
    <row r="14" spans="2:13" ht="14.1" hidden="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t="s">
        <v>43</v>
      </c>
      <c r="C17" s="319"/>
      <c r="D17" s="319"/>
      <c r="E17" s="319"/>
      <c r="F17" s="319"/>
      <c r="G17" s="319"/>
      <c r="H17" s="319"/>
    </row>
    <row r="18" spans="2:13" ht="14.1" customHeight="1">
      <c r="B18" s="310"/>
      <c r="C18" s="310"/>
      <c r="D18" s="310"/>
      <c r="E18" s="310"/>
      <c r="F18" s="310"/>
      <c r="G18" s="310"/>
      <c r="H18" s="310"/>
    </row>
    <row r="19" spans="2:13" s="5" customFormat="1" ht="14.1" customHeight="1">
      <c r="B19" s="36" t="s">
        <v>7</v>
      </c>
      <c r="C19" s="37"/>
      <c r="D19" s="37"/>
      <c r="E19" s="37"/>
      <c r="F19" s="37"/>
      <c r="G19" s="37"/>
      <c r="H19" s="38"/>
    </row>
    <row r="20" spans="2:13" s="5" customFormat="1" ht="14.1" customHeight="1">
      <c r="B20" s="40"/>
      <c r="C20" s="41"/>
      <c r="D20" s="40"/>
      <c r="E20" s="40"/>
      <c r="F20" s="40"/>
      <c r="G20" s="40"/>
      <c r="H20" s="40"/>
    </row>
    <row r="21" spans="2:13" s="5" customFormat="1" ht="14.1" customHeight="1">
      <c r="B21" s="67" t="str">
        <f>$D$5</f>
        <v>Postage &amp; Shipping</v>
      </c>
      <c r="C21" s="67"/>
      <c r="D21" s="68"/>
      <c r="E21" s="68"/>
      <c r="F21" s="68" t="s">
        <v>10</v>
      </c>
      <c r="G21" s="69" t="s">
        <v>31</v>
      </c>
      <c r="H21" s="40"/>
      <c r="J21" s="73" t="s">
        <v>32</v>
      </c>
      <c r="K21" s="73" t="s">
        <v>33</v>
      </c>
      <c r="L21" s="73" t="s">
        <v>34</v>
      </c>
      <c r="M21" s="73" t="s">
        <v>35</v>
      </c>
    </row>
    <row r="22" spans="2:13" s="5" customFormat="1" ht="14.1" customHeight="1">
      <c r="B22" s="64" t="s">
        <v>235</v>
      </c>
      <c r="C22" s="57"/>
      <c r="D22" s="80"/>
      <c r="E22" s="66"/>
      <c r="F22" s="66">
        <v>12000</v>
      </c>
      <c r="G22" s="71" t="s">
        <v>128</v>
      </c>
      <c r="H22" s="40"/>
      <c r="J22" s="74">
        <f>INDEX(MASTER!$C$25:$F$42,MATCH($G22,allocation,0),MATCH(J$21,MASTER!$C$24:$F$24,0))</f>
        <v>0.33</v>
      </c>
      <c r="K22" s="74">
        <f>INDEX(MASTER!$C$25:$F$42,MATCH($G22,allocation,0),MATCH(K$21,MASTER!$C$24:$F$24,0))</f>
        <v>0.34</v>
      </c>
      <c r="L22" s="74">
        <f>INDEX(MASTER!$C$25:$F$42,MATCH($G22,allocation,0),MATCH(L$21,MASTER!$C$24:$F$24,0))</f>
        <v>0.33</v>
      </c>
      <c r="M22" s="74">
        <f>INDEX(MASTER!$C$25:$F$42,MATCH($G22,allocation,0),MATCH(M$21,MASTER!$C$24:$F$24,0))</f>
        <v>0</v>
      </c>
    </row>
    <row r="23" spans="2:13" s="5" customFormat="1" ht="14.1" customHeight="1" thickBot="1">
      <c r="B23" s="49" t="s">
        <v>10</v>
      </c>
      <c r="C23" s="49"/>
      <c r="D23" s="49"/>
      <c r="E23" s="49"/>
      <c r="F23" s="50">
        <f>SUM(F22:F22)</f>
        <v>12000</v>
      </c>
      <c r="G23" s="49"/>
      <c r="H23" s="40"/>
    </row>
    <row r="24" spans="2:13" s="5" customFormat="1" ht="14.1" customHeight="1" thickTop="1">
      <c r="B24" s="40"/>
      <c r="C24" s="41"/>
      <c r="G24" s="40"/>
      <c r="H24" s="40"/>
    </row>
    <row r="25" spans="2:13" s="5" customFormat="1" ht="14.1" customHeight="1">
      <c r="B25" s="41" t="s">
        <v>11</v>
      </c>
      <c r="C25" s="35">
        <f>ROUNDUP($F$23,-$B$26)</f>
        <v>12000</v>
      </c>
      <c r="F25" s="40"/>
      <c r="G25" s="40"/>
      <c r="H25" s="40"/>
    </row>
    <row r="26" spans="2:13" s="5" customFormat="1" ht="14.1" customHeight="1">
      <c r="B26" s="51">
        <v>3</v>
      </c>
      <c r="C26" s="41"/>
      <c r="D26" s="40"/>
      <c r="E26" s="40"/>
      <c r="F26" s="40"/>
      <c r="G26" s="40"/>
      <c r="H26" s="40"/>
    </row>
    <row r="27" spans="2:13" s="5" customFormat="1" ht="14.1" customHeight="1">
      <c r="B27" s="40"/>
      <c r="C27" s="41"/>
      <c r="D27" s="40"/>
      <c r="E27" s="40"/>
      <c r="F27" s="40"/>
      <c r="G27" s="40"/>
      <c r="H27" s="40"/>
    </row>
    <row r="28" spans="2:13" s="5" customFormat="1" ht="14.1" customHeight="1">
      <c r="B28" s="40"/>
      <c r="C28" s="41"/>
      <c r="D28" s="40"/>
      <c r="E28" s="53" t="s">
        <v>12</v>
      </c>
      <c r="F28" s="54" t="s">
        <v>13</v>
      </c>
      <c r="G28" s="54" t="s">
        <v>14</v>
      </c>
      <c r="H28" s="55" t="s">
        <v>15</v>
      </c>
    </row>
    <row r="29" spans="2:13" s="5" customFormat="1" ht="14.1" customHeight="1">
      <c r="B29" s="36"/>
      <c r="C29" s="36"/>
      <c r="D29" s="36"/>
      <c r="E29" s="53" t="str">
        <f>"FY "&amp;MASTER!$B$4-1&amp;" - "&amp;MASTER!$B$4</f>
        <v>FY 2020 - 2021</v>
      </c>
      <c r="F29" s="56">
        <f>MASTER!$B$6</f>
        <v>44255</v>
      </c>
      <c r="G29" s="54" t="str">
        <f>"June "&amp;MASTER!$B$4</f>
        <v>June 2021</v>
      </c>
      <c r="H29" s="55" t="str">
        <f>"FY "&amp;MASTER!$B$4&amp;" - "&amp;MASTER!$B$5</f>
        <v>FY 2021 - 2022</v>
      </c>
    </row>
    <row r="30" spans="2:13" s="5" customFormat="1" ht="14.1" customHeight="1">
      <c r="B30" s="57"/>
      <c r="C30" s="57"/>
      <c r="D30" s="58"/>
      <c r="E30" s="59"/>
      <c r="F30" s="60"/>
      <c r="G30" s="60"/>
      <c r="H30" s="58"/>
    </row>
    <row r="31" spans="2:13" s="5" customFormat="1" ht="14.1" customHeight="1">
      <c r="B31" s="40" t="str">
        <f>$D$5</f>
        <v>Postage &amp; Shipping</v>
      </c>
      <c r="C31" s="41"/>
      <c r="D31" s="58"/>
      <c r="E31" s="61">
        <v>12000</v>
      </c>
      <c r="F31" s="62">
        <v>8040</v>
      </c>
      <c r="G31" s="62">
        <v>11000</v>
      </c>
      <c r="H31" s="63">
        <f>$C$25</f>
        <v>12000</v>
      </c>
    </row>
    <row r="32" spans="2:13" s="5" customFormat="1" ht="14.1" customHeight="1">
      <c r="B32" s="40"/>
      <c r="C32" s="41"/>
      <c r="D32" s="58"/>
      <c r="E32" s="59"/>
      <c r="F32" s="59"/>
      <c r="G32" s="58"/>
      <c r="H32" s="82"/>
    </row>
    <row r="33" spans="2:253" s="5" customFormat="1" ht="14.1" customHeight="1">
      <c r="B33" s="40"/>
      <c r="C33" s="41"/>
      <c r="D33" s="58"/>
      <c r="E33" s="58"/>
      <c r="F33" s="58"/>
      <c r="G33" s="58"/>
      <c r="H33" s="63"/>
    </row>
    <row r="34" spans="2:253" s="5" customFormat="1" ht="14.1" customHeight="1">
      <c r="B34" s="2"/>
      <c r="C34" s="1"/>
    </row>
    <row r="35" spans="2:253" s="5" customFormat="1" ht="14.1" customHeight="1">
      <c r="B35" s="36" t="s">
        <v>39</v>
      </c>
      <c r="C35" s="36"/>
      <c r="D35" s="55" t="s">
        <v>40</v>
      </c>
      <c r="E35" s="55" t="s">
        <v>41</v>
      </c>
    </row>
    <row r="36" spans="2:253" s="5" customFormat="1" ht="14.1" customHeight="1">
      <c r="B36" s="75" t="s">
        <v>32</v>
      </c>
      <c r="C36" s="84">
        <f>E36/E40</f>
        <v>0.33</v>
      </c>
      <c r="D36" s="78">
        <f>SUMPRODUCT($F$22:$F$22,$J$22:$J$22)</f>
        <v>3960</v>
      </c>
      <c r="E36" s="78">
        <f>$D36+($C$25-SUM($D$36:$D$39))*($D36/$D$40)</f>
        <v>3960</v>
      </c>
    </row>
    <row r="37" spans="2:253" s="5" customFormat="1" ht="14.1" customHeight="1">
      <c r="B37" s="75" t="s">
        <v>33</v>
      </c>
      <c r="C37" s="84">
        <f>E37/E40</f>
        <v>0.34</v>
      </c>
      <c r="D37" s="78">
        <f>SUMPRODUCT($F$22:$F$22,$K$22:$K$22)</f>
        <v>4080.0000000000005</v>
      </c>
      <c r="E37" s="78">
        <f>$D37+($C$25-SUM($D$36:$D$39))*($D37/$D$40)</f>
        <v>4080.0000000000005</v>
      </c>
    </row>
    <row r="38" spans="2:253" s="5" customFormat="1" ht="14.1" customHeight="1">
      <c r="B38" s="75" t="s">
        <v>34</v>
      </c>
      <c r="C38" s="84">
        <f>E38/E40</f>
        <v>0.33</v>
      </c>
      <c r="D38" s="78">
        <f>SUMPRODUCT($F$22:$F$22,$L$22:$L$22)</f>
        <v>3960</v>
      </c>
      <c r="E38" s="78">
        <f>$D38+($C$25-SUM($D$36:$D$39))*($D38/$D$40)</f>
        <v>3960</v>
      </c>
    </row>
    <row r="39" spans="2:253" s="5" customFormat="1" ht="14.1" customHeight="1">
      <c r="B39" s="75" t="s">
        <v>35</v>
      </c>
      <c r="C39" s="84">
        <f>E39/E40</f>
        <v>0</v>
      </c>
      <c r="D39" s="78">
        <f>SUMPRODUCT($F$22:$F$22,$M$22:$M$22)</f>
        <v>0</v>
      </c>
      <c r="E39" s="78">
        <f>$D39+($C$25-SUM($D$36:$D$39))*($D39/$D$40)</f>
        <v>0</v>
      </c>
    </row>
    <row r="40" spans="2:253" s="5" customFormat="1" ht="12.75" customHeight="1">
      <c r="B40" s="77" t="s">
        <v>10</v>
      </c>
      <c r="C40" s="85">
        <f>SUM(C36:C39)</f>
        <v>1</v>
      </c>
      <c r="D40" s="79">
        <f>SUM(D36:D39)</f>
        <v>12000</v>
      </c>
      <c r="E40" s="79">
        <f>SUM(E36:E39)</f>
        <v>12000</v>
      </c>
    </row>
    <row r="41" spans="2:253" s="5" customFormat="1" ht="12.75" customHeight="1">
      <c r="B41" s="2"/>
      <c r="C41" s="2"/>
      <c r="D41" s="2"/>
      <c r="E41" s="76"/>
    </row>
    <row r="42" spans="2:253" s="5" customFormat="1" ht="12.75" customHeight="1">
      <c r="E42" s="20"/>
      <c r="F42" s="6"/>
    </row>
    <row r="43" spans="2:253" s="5" customFormat="1" ht="12.75" customHeight="1">
      <c r="E43" s="20"/>
    </row>
    <row r="44" spans="2:253" s="5" customFormat="1" ht="12.75" customHeight="1">
      <c r="D44" s="21"/>
      <c r="E44" s="20"/>
    </row>
    <row r="45" spans="2:253" s="5" customFormat="1" ht="12.75" customHeight="1">
      <c r="D45" s="21"/>
      <c r="E45" s="20"/>
    </row>
    <row r="46" spans="2:253" s="5" customFormat="1" ht="12.75" customHeight="1">
      <c r="E46" s="20"/>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row>
    <row r="47" spans="2:253" s="5" customFormat="1" ht="12.75" customHeight="1">
      <c r="D47" s="21"/>
      <c r="E47" s="20"/>
    </row>
    <row r="48" spans="2:253" s="5" customFormat="1" ht="12.75" customHeight="1">
      <c r="E48" s="20"/>
    </row>
    <row r="49" spans="4:5" ht="12.75" customHeight="1">
      <c r="E49" s="20"/>
    </row>
    <row r="50" spans="4:5" ht="12.75" customHeight="1">
      <c r="E50" s="4"/>
    </row>
    <row r="51" spans="4:5">
      <c r="E51" s="3"/>
    </row>
    <row r="63" spans="4:5">
      <c r="D63" s="3"/>
      <c r="E63" s="3"/>
    </row>
  </sheetData>
  <mergeCells count="4">
    <mergeCell ref="E4:F4"/>
    <mergeCell ref="D5:G5"/>
    <mergeCell ref="B13:H14"/>
    <mergeCell ref="B17:H17"/>
  </mergeCells>
  <dataValidations count="2">
    <dataValidation type="list" allowBlank="1" showInputMessage="1" showErrorMessage="1" sqref="G22" xr:uid="{00000000-0002-0000-2F00-000000000000}">
      <formula1>allocation</formula1>
    </dataValidation>
    <dataValidation type="list" allowBlank="1" showInputMessage="1" showErrorMessage="1" sqref="E4" xr:uid="{00000000-0002-0000-2F00-000001000000}">
      <formula1>enterprise</formula1>
    </dataValidation>
  </dataValidations>
  <pageMargins left="0.7" right="0.7" top="0.75" bottom="0.75" header="0.3" footer="0.3"/>
  <pageSetup scale="94" fitToHeight="0"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8">
    <pageSetUpPr fitToPage="1"/>
  </sheetPr>
  <dimension ref="B2:IS67"/>
  <sheetViews>
    <sheetView topLeftCell="A3" workbookViewId="0">
      <selection activeCell="B17" sqref="B17:H18"/>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E35</f>
        <v>14700</v>
      </c>
      <c r="K2" s="120">
        <f t="shared" ref="K2:M2" si="0">F35</f>
        <v>9688</v>
      </c>
      <c r="L2" s="120">
        <f t="shared" si="0"/>
        <v>13700</v>
      </c>
      <c r="M2" s="120">
        <f t="shared" si="0"/>
        <v>15500</v>
      </c>
    </row>
    <row r="3" spans="2:13" ht="14.1" customHeight="1">
      <c r="B3" s="40"/>
      <c r="C3" s="40"/>
      <c r="D3" s="40"/>
      <c r="E3" s="40"/>
      <c r="F3" s="40"/>
      <c r="G3" s="40"/>
      <c r="H3" s="40"/>
      <c r="J3" s="121">
        <f>C40</f>
        <v>0.40612903225806452</v>
      </c>
      <c r="K3" s="121"/>
      <c r="L3" s="121"/>
      <c r="M3" s="121"/>
    </row>
    <row r="4" spans="2:13" ht="23.25" customHeight="1">
      <c r="B4" s="40"/>
      <c r="C4" s="40"/>
      <c r="D4" s="40"/>
      <c r="E4" s="316" t="s">
        <v>118</v>
      </c>
      <c r="F4" s="316"/>
      <c r="G4" s="41"/>
      <c r="H4" s="40"/>
      <c r="J4" s="121">
        <f t="shared" ref="J4:J6" si="1">C41</f>
        <v>0.43225806451612903</v>
      </c>
    </row>
    <row r="5" spans="2:13" ht="14.1" customHeight="1">
      <c r="B5" s="42"/>
      <c r="C5" s="42"/>
      <c r="D5" s="312" t="str">
        <f>'Operating Budget'!B74</f>
        <v>Miscellaneous Office Expense</v>
      </c>
      <c r="E5" s="312"/>
      <c r="F5" s="312"/>
      <c r="G5" s="312"/>
      <c r="H5" s="43"/>
      <c r="J5" s="121">
        <f t="shared" si="1"/>
        <v>0.15774193548387097</v>
      </c>
    </row>
    <row r="6" spans="2:13" ht="19.5" customHeight="1">
      <c r="B6" s="40"/>
      <c r="C6" s="40"/>
      <c r="D6" s="40"/>
      <c r="E6" s="40"/>
      <c r="H6" s="40"/>
      <c r="J6" s="121">
        <f t="shared" si="1"/>
        <v>3.8709677419354839E-3</v>
      </c>
    </row>
    <row r="7" spans="2:13" ht="14.1" hidden="1" customHeight="1">
      <c r="B7" s="40"/>
      <c r="C7" s="40"/>
      <c r="D7" s="40"/>
      <c r="E7" s="40"/>
      <c r="F7" s="44"/>
      <c r="G7" s="44"/>
      <c r="H7" s="40"/>
    </row>
    <row r="8" spans="2:13" ht="14.1" customHeight="1">
      <c r="B8" s="41" t="s">
        <v>2</v>
      </c>
      <c r="C8" s="40">
        <f>'Operating Budget'!C74</f>
        <v>5250</v>
      </c>
      <c r="D8" s="40"/>
      <c r="E8" s="40"/>
      <c r="F8" s="40"/>
      <c r="G8" s="40"/>
      <c r="H8" s="40"/>
    </row>
    <row r="9" spans="2:13" ht="14.1" customHeight="1">
      <c r="B9" s="41" t="s">
        <v>3</v>
      </c>
      <c r="C9" s="40">
        <f>INDEX('Operating Budget'!$A$11:$A$107,MATCH('42'!C8,'Operating Budget'!C11:C107))</f>
        <v>42</v>
      </c>
      <c r="D9" s="40"/>
      <c r="E9" s="40"/>
      <c r="F9" s="40"/>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236</v>
      </c>
      <c r="C13" s="319"/>
      <c r="D13" s="319"/>
      <c r="E13" s="319"/>
      <c r="F13" s="319"/>
      <c r="G13" s="319"/>
      <c r="H13" s="319"/>
    </row>
    <row r="14" spans="2:13" ht="14.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t="s">
        <v>237</v>
      </c>
      <c r="C17" s="319"/>
      <c r="D17" s="319"/>
      <c r="E17" s="319"/>
      <c r="F17" s="319"/>
      <c r="G17" s="319"/>
      <c r="H17" s="319"/>
    </row>
    <row r="18" spans="2:13" ht="14.1" hidden="1" customHeight="1">
      <c r="B18" s="319"/>
      <c r="C18" s="319"/>
      <c r="D18" s="319"/>
      <c r="E18" s="319"/>
      <c r="F18" s="319"/>
      <c r="G18" s="319"/>
      <c r="H18" s="319"/>
    </row>
    <row r="19" spans="2:13" ht="14.1" customHeight="1">
      <c r="B19" s="310"/>
      <c r="C19" s="310"/>
      <c r="D19" s="310"/>
      <c r="E19" s="310"/>
      <c r="F19" s="310"/>
      <c r="G19" s="310"/>
      <c r="H19" s="310"/>
    </row>
    <row r="20" spans="2:13" s="5" customFormat="1" ht="14.1" customHeight="1">
      <c r="B20" s="36" t="s">
        <v>7</v>
      </c>
      <c r="C20" s="37"/>
      <c r="D20" s="37"/>
      <c r="E20" s="37"/>
      <c r="F20" s="37"/>
      <c r="G20" s="37"/>
      <c r="H20" s="38"/>
    </row>
    <row r="21" spans="2:13" s="5" customFormat="1" ht="14.1" customHeight="1">
      <c r="B21" s="40"/>
      <c r="C21" s="41"/>
      <c r="D21" s="40"/>
      <c r="E21" s="40"/>
      <c r="F21" s="40"/>
      <c r="G21" s="40"/>
      <c r="H21" s="40"/>
    </row>
    <row r="22" spans="2:13" s="5" customFormat="1" ht="14.1" customHeight="1">
      <c r="B22" s="67" t="str">
        <f>$D$5</f>
        <v>Miscellaneous Office Expense</v>
      </c>
      <c r="C22" s="67"/>
      <c r="D22" s="68"/>
      <c r="E22" s="68"/>
      <c r="F22" s="68" t="s">
        <v>10</v>
      </c>
      <c r="G22" s="69" t="s">
        <v>31</v>
      </c>
      <c r="H22" s="40"/>
      <c r="J22" s="73" t="s">
        <v>32</v>
      </c>
      <c r="K22" s="73" t="s">
        <v>33</v>
      </c>
      <c r="L22" s="73" t="s">
        <v>34</v>
      </c>
      <c r="M22" s="73" t="s">
        <v>35</v>
      </c>
    </row>
    <row r="23" spans="2:13" s="5" customFormat="1" ht="14.1" customHeight="1">
      <c r="B23" s="5" t="s">
        <v>238</v>
      </c>
      <c r="C23" s="57"/>
      <c r="D23" s="80"/>
      <c r="E23" s="66"/>
      <c r="F23" s="66">
        <v>3000</v>
      </c>
      <c r="G23" s="71" t="s">
        <v>221</v>
      </c>
      <c r="H23" s="40"/>
      <c r="J23" s="74">
        <f>INDEX(MASTER!$C$25:$F$42,MATCH($G23,allocation,0),MATCH(J$22,MASTER!$C$24:$F$24,0))</f>
        <v>0.41</v>
      </c>
      <c r="K23" s="74">
        <f>INDEX(MASTER!$C$25:$F$42,MATCH($G23,allocation,0),MATCH(K$22,MASTER!$C$24:$F$24,0))</f>
        <v>0.44</v>
      </c>
      <c r="L23" s="74">
        <f>INDEX(MASTER!$C$25:$F$42,MATCH($G23,allocation,0),MATCH(L$22,MASTER!$C$24:$F$24,0))</f>
        <v>0.15</v>
      </c>
      <c r="M23" s="74">
        <f>INDEX(MASTER!$C$25:$F$42,MATCH($G23,allocation,0),MATCH(M$22,MASTER!$C$24:$F$24,0))</f>
        <v>0</v>
      </c>
    </row>
    <row r="24" spans="2:13" s="5" customFormat="1" ht="14.1" customHeight="1">
      <c r="B24" s="5" t="s">
        <v>239</v>
      </c>
      <c r="C24" s="57"/>
      <c r="D24" s="80"/>
      <c r="E24" s="66"/>
      <c r="F24" s="66">
        <v>2100</v>
      </c>
      <c r="G24" s="81" t="s">
        <v>221</v>
      </c>
      <c r="H24" s="40"/>
      <c r="J24" s="74">
        <f>INDEX(MASTER!$C$25:$F$42,MATCH($G24,allocation,0),MATCH(J$22,MASTER!$C$24:$F$24,0))</f>
        <v>0.41</v>
      </c>
      <c r="K24" s="74">
        <f>INDEX(MASTER!$C$25:$F$42,MATCH($G24,allocation,0),MATCH(K$22,MASTER!$C$24:$F$24,0))</f>
        <v>0.44</v>
      </c>
      <c r="L24" s="74">
        <f>INDEX(MASTER!$C$25:$F$42,MATCH($G24,allocation,0),MATCH(L$22,MASTER!$C$24:$F$24,0))</f>
        <v>0.15</v>
      </c>
      <c r="M24" s="74">
        <f>INDEX(MASTER!$C$25:$F$42,MATCH($G24,allocation,0),MATCH(M$22,MASTER!$C$24:$F$24,0))</f>
        <v>0</v>
      </c>
    </row>
    <row r="25" spans="2:13" s="5" customFormat="1" ht="14.1" customHeight="1">
      <c r="B25" s="5" t="s">
        <v>240</v>
      </c>
      <c r="C25" s="57"/>
      <c r="D25" s="80"/>
      <c r="E25" s="66"/>
      <c r="F25" s="66">
        <v>3000</v>
      </c>
      <c r="G25" s="81" t="s">
        <v>152</v>
      </c>
      <c r="H25" s="40"/>
      <c r="J25" s="74">
        <f>INDEX(MASTER!$C$25:$F$42,MATCH($G25,allocation,0),MATCH(J$22,MASTER!$C$24:$F$24,0))</f>
        <v>0.39</v>
      </c>
      <c r="K25" s="74">
        <f>INDEX(MASTER!$C$25:$F$42,MATCH($G25,allocation,0),MATCH(K$22,MASTER!$C$24:$F$24,0))</f>
        <v>0.4</v>
      </c>
      <c r="L25" s="74">
        <f>INDEX(MASTER!$C$25:$F$42,MATCH($G25,allocation,0),MATCH(L$22,MASTER!$C$24:$F$24,0))</f>
        <v>0.19</v>
      </c>
      <c r="M25" s="74">
        <f>INDEX(MASTER!$C$25:$F$42,MATCH($G25,allocation,0),MATCH(M$22,MASTER!$C$24:$F$24,0))</f>
        <v>0.02</v>
      </c>
    </row>
    <row r="26" spans="2:13" s="5" customFormat="1" ht="14.1" customHeight="1">
      <c r="B26" s="5" t="s">
        <v>241</v>
      </c>
      <c r="C26" s="57"/>
      <c r="D26" s="80"/>
      <c r="E26" s="66"/>
      <c r="F26" s="66">
        <v>7400</v>
      </c>
      <c r="G26" s="81" t="s">
        <v>221</v>
      </c>
      <c r="H26" s="40"/>
      <c r="J26" s="74">
        <f>INDEX(MASTER!$C$25:$F$42,MATCH($G26,allocation,0),MATCH(J$22,MASTER!$C$24:$F$24,0))</f>
        <v>0.41</v>
      </c>
      <c r="K26" s="74">
        <f>INDEX(MASTER!$C$25:$F$42,MATCH($G26,allocation,0),MATCH(K$22,MASTER!$C$24:$F$24,0))</f>
        <v>0.44</v>
      </c>
      <c r="L26" s="74">
        <f>INDEX(MASTER!$C$25:$F$42,MATCH($G26,allocation,0),MATCH(L$22,MASTER!$C$24:$F$24,0))</f>
        <v>0.15</v>
      </c>
      <c r="M26" s="74">
        <f>INDEX(MASTER!$C$25:$F$42,MATCH($G26,allocation,0),MATCH(M$22,MASTER!$C$24:$F$24,0))</f>
        <v>0</v>
      </c>
    </row>
    <row r="27" spans="2:13" s="5" customFormat="1" ht="14.1" customHeight="1" thickBot="1">
      <c r="B27" s="49" t="s">
        <v>10</v>
      </c>
      <c r="C27" s="49"/>
      <c r="D27" s="49"/>
      <c r="E27" s="49"/>
      <c r="F27" s="50">
        <f>SUM(F23:F26)</f>
        <v>15500</v>
      </c>
      <c r="G27" s="49"/>
      <c r="H27" s="40"/>
    </row>
    <row r="28" spans="2:13" s="5" customFormat="1" ht="14.1" customHeight="1" thickTop="1">
      <c r="B28" s="40"/>
      <c r="C28" s="41"/>
      <c r="G28" s="40"/>
      <c r="H28" s="40"/>
    </row>
    <row r="29" spans="2:13" s="5" customFormat="1" ht="14.1" customHeight="1">
      <c r="B29" s="41" t="s">
        <v>11</v>
      </c>
      <c r="C29" s="35">
        <f>ROUNDUP($F$27,-$B$30)</f>
        <v>15500</v>
      </c>
      <c r="F29" s="40"/>
      <c r="G29" s="40"/>
      <c r="H29" s="40"/>
    </row>
    <row r="30" spans="2:13" s="5" customFormat="1" ht="14.1" customHeight="1">
      <c r="B30" s="51">
        <v>2</v>
      </c>
      <c r="C30" s="41"/>
      <c r="D30" s="40"/>
      <c r="E30" s="40"/>
      <c r="F30" s="40"/>
      <c r="G30" s="40"/>
      <c r="H30" s="40"/>
    </row>
    <row r="31" spans="2:13" s="5" customFormat="1" ht="14.1" customHeight="1">
      <c r="B31" s="40"/>
      <c r="C31" s="41"/>
      <c r="D31" s="40"/>
      <c r="E31" s="40"/>
      <c r="F31" s="40"/>
      <c r="G31" s="40"/>
      <c r="H31" s="40"/>
    </row>
    <row r="32" spans="2:13" s="5" customFormat="1" ht="14.1" customHeight="1">
      <c r="B32" s="40"/>
      <c r="C32" s="41"/>
      <c r="D32" s="40"/>
      <c r="E32" s="53" t="s">
        <v>12</v>
      </c>
      <c r="F32" s="54" t="s">
        <v>13</v>
      </c>
      <c r="G32" s="54" t="s">
        <v>14</v>
      </c>
      <c r="H32" s="55" t="s">
        <v>15</v>
      </c>
    </row>
    <row r="33" spans="2:8" s="5" customFormat="1" ht="14.1" customHeight="1">
      <c r="B33" s="36"/>
      <c r="C33" s="36"/>
      <c r="D33" s="36"/>
      <c r="E33" s="53" t="str">
        <f>"FY "&amp;MASTER!$B$4-1&amp;" - "&amp;MASTER!$B$4</f>
        <v>FY 2020 - 2021</v>
      </c>
      <c r="F33" s="56">
        <f>MASTER!$B$6</f>
        <v>44255</v>
      </c>
      <c r="G33" s="54" t="str">
        <f>"June "&amp;MASTER!$B$4</f>
        <v>June 2021</v>
      </c>
      <c r="H33" s="55" t="str">
        <f>"FY "&amp;MASTER!$B$4&amp;" - "&amp;MASTER!$B$5</f>
        <v>FY 2021 - 2022</v>
      </c>
    </row>
    <row r="34" spans="2:8" s="5" customFormat="1" ht="14.1" customHeight="1">
      <c r="B34" s="57"/>
      <c r="C34" s="57"/>
      <c r="D34" s="58"/>
      <c r="E34" s="59"/>
      <c r="F34" s="60"/>
      <c r="G34" s="60"/>
      <c r="H34" s="58"/>
    </row>
    <row r="35" spans="2:8" s="5" customFormat="1" ht="14.1" customHeight="1">
      <c r="B35" s="40" t="str">
        <f>$D$5</f>
        <v>Miscellaneous Office Expense</v>
      </c>
      <c r="C35" s="41"/>
      <c r="D35" s="58"/>
      <c r="E35" s="61">
        <v>14700</v>
      </c>
      <c r="F35" s="62">
        <v>9688</v>
      </c>
      <c r="G35" s="62">
        <v>13700</v>
      </c>
      <c r="H35" s="63">
        <f>$C$29</f>
        <v>15500</v>
      </c>
    </row>
    <row r="36" spans="2:8" s="5" customFormat="1" ht="14.1" customHeight="1">
      <c r="B36" s="40"/>
      <c r="C36" s="41"/>
      <c r="D36" s="58"/>
      <c r="E36" s="59"/>
      <c r="F36" s="59"/>
      <c r="G36" s="58"/>
      <c r="H36" s="82"/>
    </row>
    <row r="37" spans="2:8" s="5" customFormat="1" ht="14.1" customHeight="1">
      <c r="B37" s="40"/>
      <c r="C37" s="41"/>
      <c r="D37" s="58"/>
      <c r="E37" s="58"/>
      <c r="F37" s="58"/>
      <c r="G37" s="58"/>
      <c r="H37" s="63"/>
    </row>
    <row r="38" spans="2:8" s="5" customFormat="1" ht="14.1" customHeight="1">
      <c r="B38" s="2"/>
      <c r="C38" s="1"/>
    </row>
    <row r="39" spans="2:8" s="5" customFormat="1" ht="14.1" customHeight="1">
      <c r="B39" s="36" t="s">
        <v>39</v>
      </c>
      <c r="C39" s="36"/>
      <c r="D39" s="55" t="s">
        <v>40</v>
      </c>
      <c r="E39" s="55" t="s">
        <v>41</v>
      </c>
    </row>
    <row r="40" spans="2:8" s="5" customFormat="1" ht="14.1" customHeight="1">
      <c r="B40" s="75" t="s">
        <v>32</v>
      </c>
      <c r="C40" s="84">
        <f>E40/E44</f>
        <v>0.40612903225806452</v>
      </c>
      <c r="D40" s="78">
        <f>SUMPRODUCT($F$23:$F$26,$J$23:$J$26)</f>
        <v>6295</v>
      </c>
      <c r="E40" s="78">
        <f>$D40+($C$29-SUM($D$40:$D$43))*($D40/$D$44)</f>
        <v>6295</v>
      </c>
    </row>
    <row r="41" spans="2:8" s="5" customFormat="1" ht="14.1" customHeight="1">
      <c r="B41" s="75" t="s">
        <v>33</v>
      </c>
      <c r="C41" s="84">
        <f>E41/E44</f>
        <v>0.43225806451612903</v>
      </c>
      <c r="D41" s="78">
        <f>SUMPRODUCT($F$23:$F$26,$K$23:$K$26)</f>
        <v>6700</v>
      </c>
      <c r="E41" s="78">
        <f>$D41+($C$29-SUM($D$40:$D$43))*($D41/$D$44)</f>
        <v>6700</v>
      </c>
    </row>
    <row r="42" spans="2:8" s="5" customFormat="1" ht="14.1" customHeight="1">
      <c r="B42" s="75" t="s">
        <v>34</v>
      </c>
      <c r="C42" s="84">
        <f>E42/E44</f>
        <v>0.15774193548387097</v>
      </c>
      <c r="D42" s="78">
        <f>SUMPRODUCT($F$23:$F$26,$L$23:$L$26)</f>
        <v>2445</v>
      </c>
      <c r="E42" s="78">
        <f>$D42+($C$29-SUM($D$40:$D$43))*($D42/$D$44)</f>
        <v>2445</v>
      </c>
    </row>
    <row r="43" spans="2:8" s="5" customFormat="1" ht="14.1" customHeight="1">
      <c r="B43" s="75" t="s">
        <v>35</v>
      </c>
      <c r="C43" s="84">
        <f>E43/E44</f>
        <v>3.8709677419354839E-3</v>
      </c>
      <c r="D43" s="78">
        <f>SUMPRODUCT($F$23:$F$26,$M$23:$M$26)</f>
        <v>60</v>
      </c>
      <c r="E43" s="78">
        <f>$D43+($C$29-SUM($D$40:$D$43))*($D43/$D$44)</f>
        <v>60</v>
      </c>
    </row>
    <row r="44" spans="2:8" s="5" customFormat="1" ht="12.75" customHeight="1">
      <c r="B44" s="77" t="s">
        <v>10</v>
      </c>
      <c r="C44" s="85">
        <f>SUM(C40:C43)</f>
        <v>1</v>
      </c>
      <c r="D44" s="79">
        <f>SUM(D40:D43)</f>
        <v>15500</v>
      </c>
      <c r="E44" s="79">
        <f>SUM(E40:E43)</f>
        <v>15500</v>
      </c>
    </row>
    <row r="45" spans="2:8" s="5" customFormat="1" ht="12.75" customHeight="1">
      <c r="B45" s="2"/>
      <c r="C45" s="2"/>
      <c r="D45" s="2"/>
      <c r="E45" s="76"/>
    </row>
    <row r="46" spans="2:8" s="5" customFormat="1" ht="12.75" customHeight="1">
      <c r="E46" s="20"/>
      <c r="F46" s="6"/>
    </row>
    <row r="47" spans="2:8" s="5" customFormat="1" ht="12.75" customHeight="1">
      <c r="E47" s="20"/>
    </row>
    <row r="48" spans="2:8" s="5" customFormat="1" ht="12.75" customHeight="1">
      <c r="D48" s="21"/>
      <c r="E48" s="20"/>
    </row>
    <row r="49" spans="4:253" s="5" customFormat="1" ht="12.75" customHeight="1">
      <c r="D49" s="21"/>
      <c r="E49" s="20"/>
    </row>
    <row r="50" spans="4:253" s="5" customFormat="1" ht="12.75" customHeight="1">
      <c r="E50" s="20"/>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row>
    <row r="51" spans="4:253" s="5" customFormat="1" ht="12.75" customHeight="1">
      <c r="D51" s="21"/>
      <c r="E51" s="20"/>
    </row>
    <row r="52" spans="4:253" s="5" customFormat="1" ht="12.75" customHeight="1">
      <c r="E52" s="20"/>
    </row>
    <row r="53" spans="4:253" ht="12.75" customHeight="1">
      <c r="E53" s="20"/>
    </row>
    <row r="54" spans="4:253" ht="12.75" customHeight="1">
      <c r="E54" s="4"/>
    </row>
    <row r="55" spans="4:253">
      <c r="E55" s="3"/>
    </row>
    <row r="67" spans="4:5">
      <c r="D67" s="3"/>
      <c r="E67" s="3"/>
    </row>
  </sheetData>
  <mergeCells count="4">
    <mergeCell ref="E4:F4"/>
    <mergeCell ref="D5:G5"/>
    <mergeCell ref="B13:H14"/>
    <mergeCell ref="B17:H18"/>
  </mergeCells>
  <dataValidations count="2">
    <dataValidation type="list" allowBlank="1" showInputMessage="1" showErrorMessage="1" sqref="G23:G26" xr:uid="{00000000-0002-0000-3000-000000000000}">
      <formula1>allocation</formula1>
    </dataValidation>
    <dataValidation type="list" allowBlank="1" showInputMessage="1" showErrorMessage="1" sqref="E4" xr:uid="{00000000-0002-0000-3000-000001000000}">
      <formula1>enterprise</formula1>
    </dataValidation>
  </dataValidations>
  <pageMargins left="0.7" right="0.7" top="0.75" bottom="0.75" header="0.3" footer="0.3"/>
  <pageSetup scale="94" fitToHeight="0"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9">
    <pageSetUpPr fitToPage="1"/>
  </sheetPr>
  <dimension ref="B2:IS63"/>
  <sheetViews>
    <sheetView workbookViewId="0">
      <selection activeCell="E10" sqref="E10"/>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E31</f>
        <v>3800</v>
      </c>
      <c r="K2" s="120">
        <f t="shared" ref="K2:M2" si="0">F31</f>
        <v>2132</v>
      </c>
      <c r="L2" s="120">
        <f t="shared" si="0"/>
        <v>3500</v>
      </c>
      <c r="M2" s="120">
        <f t="shared" si="0"/>
        <v>3800</v>
      </c>
    </row>
    <row r="3" spans="2:13" ht="14.1" customHeight="1">
      <c r="B3" s="40"/>
      <c r="C3" s="40"/>
      <c r="D3" s="40"/>
      <c r="E3" s="40"/>
      <c r="F3" s="40"/>
      <c r="G3" s="40"/>
      <c r="H3" s="40"/>
      <c r="J3" s="121">
        <f>C36</f>
        <v>0.33</v>
      </c>
      <c r="K3" s="121"/>
      <c r="L3" s="121"/>
      <c r="M3" s="121"/>
    </row>
    <row r="4" spans="2:13" ht="23.25" customHeight="1">
      <c r="B4" s="40"/>
      <c r="C4" s="40"/>
      <c r="D4" s="40"/>
      <c r="E4" s="316" t="s">
        <v>118</v>
      </c>
      <c r="F4" s="316"/>
      <c r="G4" s="41"/>
      <c r="H4" s="40"/>
      <c r="J4" s="121">
        <f t="shared" ref="J4:J6" si="1">C37</f>
        <v>0.34</v>
      </c>
    </row>
    <row r="5" spans="2:13" ht="14.1" customHeight="1">
      <c r="B5" s="42"/>
      <c r="C5" s="42"/>
      <c r="D5" s="312" t="str">
        <f>'Operating Budget'!B75</f>
        <v>Office Utilities</v>
      </c>
      <c r="E5" s="312"/>
      <c r="F5" s="312"/>
      <c r="G5" s="312"/>
      <c r="H5" s="43"/>
      <c r="J5" s="121">
        <f t="shared" si="1"/>
        <v>0.33</v>
      </c>
    </row>
    <row r="6" spans="2:13" ht="19.5" customHeight="1">
      <c r="B6" s="40"/>
      <c r="C6" s="40"/>
      <c r="D6" s="40"/>
      <c r="E6" s="40"/>
      <c r="H6" s="40"/>
      <c r="J6" s="121">
        <f t="shared" si="1"/>
        <v>0</v>
      </c>
    </row>
    <row r="7" spans="2:13" ht="14.1" hidden="1" customHeight="1">
      <c r="B7" s="40"/>
      <c r="C7" s="40"/>
      <c r="D7" s="40"/>
      <c r="E7" s="40"/>
      <c r="F7" s="44"/>
      <c r="G7" s="44"/>
      <c r="H7" s="40"/>
    </row>
    <row r="8" spans="2:13" ht="14.1" customHeight="1">
      <c r="B8" s="41" t="s">
        <v>2</v>
      </c>
      <c r="C8" s="40">
        <f>'Operating Budget'!C75</f>
        <v>5260</v>
      </c>
      <c r="D8" s="40"/>
      <c r="E8" s="40"/>
      <c r="F8" s="40"/>
      <c r="G8" s="40"/>
      <c r="H8" s="40"/>
    </row>
    <row r="9" spans="2:13" ht="14.1" customHeight="1">
      <c r="B9" s="41" t="s">
        <v>3</v>
      </c>
      <c r="C9" s="40">
        <f>INDEX('Operating Budget'!$A$11:$A$107,MATCH('43'!C8,'Operating Budget'!C11:C107))</f>
        <v>43</v>
      </c>
      <c r="D9" s="40"/>
      <c r="E9" s="40"/>
      <c r="F9" s="202"/>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242</v>
      </c>
      <c r="C13" s="319"/>
      <c r="D13" s="319"/>
      <c r="E13" s="319"/>
      <c r="F13" s="319"/>
      <c r="G13" s="319"/>
      <c r="H13" s="319"/>
    </row>
    <row r="14" spans="2:13" ht="14.1" hidden="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t="s">
        <v>43</v>
      </c>
      <c r="C17" s="319"/>
      <c r="D17" s="319"/>
      <c r="E17" s="319"/>
      <c r="F17" s="319"/>
      <c r="G17" s="319"/>
      <c r="H17" s="319"/>
    </row>
    <row r="18" spans="2:13" ht="14.1" customHeight="1">
      <c r="B18" s="310"/>
      <c r="C18" s="310"/>
      <c r="D18" s="310"/>
      <c r="E18" s="310"/>
      <c r="F18" s="310"/>
      <c r="G18" s="310"/>
      <c r="H18" s="310"/>
    </row>
    <row r="19" spans="2:13" s="5" customFormat="1" ht="14.1" customHeight="1">
      <c r="B19" s="36" t="s">
        <v>7</v>
      </c>
      <c r="C19" s="37"/>
      <c r="D19" s="37"/>
      <c r="E19" s="37"/>
      <c r="F19" s="37"/>
      <c r="G19" s="37"/>
      <c r="H19" s="38"/>
    </row>
    <row r="20" spans="2:13" s="5" customFormat="1" ht="14.1" customHeight="1">
      <c r="B20" s="40"/>
      <c r="C20" s="41"/>
      <c r="D20" s="40"/>
      <c r="E20" s="40"/>
      <c r="F20" s="40"/>
      <c r="G20" s="40"/>
      <c r="H20" s="40"/>
    </row>
    <row r="21" spans="2:13" s="5" customFormat="1" ht="14.1" customHeight="1">
      <c r="B21" s="67" t="str">
        <f>$D$5</f>
        <v>Office Utilities</v>
      </c>
      <c r="C21" s="67"/>
      <c r="D21" s="68"/>
      <c r="E21" s="68"/>
      <c r="F21" s="68" t="s">
        <v>10</v>
      </c>
      <c r="G21" s="69" t="s">
        <v>31</v>
      </c>
      <c r="H21" s="40"/>
      <c r="J21" s="73" t="s">
        <v>32</v>
      </c>
      <c r="K21" s="73" t="s">
        <v>33</v>
      </c>
      <c r="L21" s="73" t="s">
        <v>34</v>
      </c>
      <c r="M21" s="73" t="s">
        <v>35</v>
      </c>
    </row>
    <row r="22" spans="2:13" s="5" customFormat="1" ht="14.1" customHeight="1">
      <c r="B22" s="64" t="s">
        <v>243</v>
      </c>
      <c r="C22" s="57"/>
      <c r="D22" s="80"/>
      <c r="E22" s="66"/>
      <c r="F22" s="66">
        <v>3800</v>
      </c>
      <c r="G22" s="71" t="s">
        <v>128</v>
      </c>
      <c r="H22" s="40"/>
      <c r="J22" s="74">
        <f>INDEX(MASTER!$C$25:$F$42,MATCH($G22,allocation,0),MATCH(J$21,MASTER!$C$24:$F$24,0))</f>
        <v>0.33</v>
      </c>
      <c r="K22" s="74">
        <f>INDEX(MASTER!$C$25:$F$42,MATCH($G22,allocation,0),MATCH(K$21,MASTER!$C$24:$F$24,0))</f>
        <v>0.34</v>
      </c>
      <c r="L22" s="74">
        <f>INDEX(MASTER!$C$25:$F$42,MATCH($G22,allocation,0),MATCH(L$21,MASTER!$C$24:$F$24,0))</f>
        <v>0.33</v>
      </c>
      <c r="M22" s="74">
        <f>INDEX(MASTER!$C$25:$F$42,MATCH($G22,allocation,0),MATCH(M$21,MASTER!$C$24:$F$24,0))</f>
        <v>0</v>
      </c>
    </row>
    <row r="23" spans="2:13" s="5" customFormat="1" ht="14.1" customHeight="1" thickBot="1">
      <c r="B23" s="49" t="s">
        <v>10</v>
      </c>
      <c r="C23" s="49"/>
      <c r="D23" s="49"/>
      <c r="E23" s="49"/>
      <c r="F23" s="50">
        <f>SUM(F22:F22)</f>
        <v>3800</v>
      </c>
      <c r="G23" s="49"/>
      <c r="H23" s="40"/>
    </row>
    <row r="24" spans="2:13" s="5" customFormat="1" ht="14.1" customHeight="1" thickTop="1">
      <c r="B24" s="40"/>
      <c r="C24" s="41"/>
      <c r="G24" s="40"/>
      <c r="H24" s="40"/>
    </row>
    <row r="25" spans="2:13" s="5" customFormat="1" ht="14.1" customHeight="1">
      <c r="B25" s="41" t="s">
        <v>11</v>
      </c>
      <c r="C25" s="35">
        <f>ROUNDUP($F$23,-$B$26)</f>
        <v>3800</v>
      </c>
      <c r="F25" s="40"/>
      <c r="G25" s="40"/>
      <c r="H25" s="40"/>
    </row>
    <row r="26" spans="2:13" s="5" customFormat="1" ht="14.1" customHeight="1">
      <c r="B26" s="51">
        <v>2</v>
      </c>
      <c r="C26" s="41"/>
      <c r="D26" s="40"/>
      <c r="E26" s="40"/>
      <c r="F26" s="40"/>
      <c r="G26" s="40"/>
      <c r="H26" s="40"/>
    </row>
    <row r="27" spans="2:13" s="5" customFormat="1" ht="14.1" customHeight="1">
      <c r="B27" s="40"/>
      <c r="C27" s="41"/>
      <c r="D27" s="40"/>
      <c r="E27" s="40"/>
      <c r="F27" s="40"/>
      <c r="G27" s="40"/>
      <c r="H27" s="40"/>
    </row>
    <row r="28" spans="2:13" s="5" customFormat="1" ht="14.1" customHeight="1">
      <c r="B28" s="40"/>
      <c r="C28" s="41"/>
      <c r="D28" s="40"/>
      <c r="E28" s="53" t="s">
        <v>12</v>
      </c>
      <c r="F28" s="54" t="s">
        <v>13</v>
      </c>
      <c r="G28" s="54" t="s">
        <v>14</v>
      </c>
      <c r="H28" s="55" t="s">
        <v>15</v>
      </c>
    </row>
    <row r="29" spans="2:13" s="5" customFormat="1" ht="14.1" customHeight="1">
      <c r="B29" s="36"/>
      <c r="C29" s="36"/>
      <c r="D29" s="36"/>
      <c r="E29" s="53" t="str">
        <f>"FY "&amp;MASTER!$B$4-1&amp;" - "&amp;MASTER!$B$4</f>
        <v>FY 2020 - 2021</v>
      </c>
      <c r="F29" s="56">
        <f>MASTER!$B$6</f>
        <v>44255</v>
      </c>
      <c r="G29" s="54" t="str">
        <f>"June "&amp;MASTER!$B$4</f>
        <v>June 2021</v>
      </c>
      <c r="H29" s="55" t="str">
        <f>"FY "&amp;MASTER!$B$4&amp;" - "&amp;MASTER!$B$5</f>
        <v>FY 2021 - 2022</v>
      </c>
    </row>
    <row r="30" spans="2:13" s="5" customFormat="1" ht="14.1" customHeight="1">
      <c r="B30" s="57"/>
      <c r="C30" s="57"/>
      <c r="D30" s="58"/>
      <c r="E30" s="59"/>
      <c r="F30" s="60"/>
      <c r="G30" s="60"/>
      <c r="H30" s="58"/>
    </row>
    <row r="31" spans="2:13" s="5" customFormat="1" ht="14.1" customHeight="1">
      <c r="B31" s="40" t="str">
        <f>$D$5</f>
        <v>Office Utilities</v>
      </c>
      <c r="C31" s="41"/>
      <c r="D31" s="58"/>
      <c r="E31" s="61">
        <v>3800</v>
      </c>
      <c r="F31" s="62">
        <v>2132</v>
      </c>
      <c r="G31" s="62">
        <v>3500</v>
      </c>
      <c r="H31" s="63">
        <f>$C$25</f>
        <v>3800</v>
      </c>
    </row>
    <row r="32" spans="2:13" s="5" customFormat="1" ht="14.1" customHeight="1">
      <c r="B32" s="40"/>
      <c r="C32" s="41"/>
      <c r="D32" s="58"/>
      <c r="E32" s="59"/>
      <c r="F32" s="59"/>
      <c r="G32" s="58"/>
      <c r="H32" s="82"/>
    </row>
    <row r="33" spans="2:253" s="5" customFormat="1" ht="14.1" customHeight="1">
      <c r="B33" s="40"/>
      <c r="C33" s="41"/>
      <c r="D33" s="58"/>
      <c r="E33" s="58"/>
      <c r="F33" s="58"/>
      <c r="G33" s="58"/>
      <c r="H33" s="63"/>
    </row>
    <row r="34" spans="2:253" s="5" customFormat="1" ht="14.1" customHeight="1">
      <c r="B34" s="2"/>
      <c r="C34" s="1"/>
    </row>
    <row r="35" spans="2:253" s="5" customFormat="1" ht="14.1" customHeight="1">
      <c r="B35" s="36" t="s">
        <v>39</v>
      </c>
      <c r="C35" s="36"/>
      <c r="D35" s="55" t="s">
        <v>40</v>
      </c>
      <c r="E35" s="55" t="s">
        <v>41</v>
      </c>
    </row>
    <row r="36" spans="2:253" s="5" customFormat="1" ht="14.1" customHeight="1">
      <c r="B36" s="75" t="s">
        <v>32</v>
      </c>
      <c r="C36" s="84">
        <f>E36/E40</f>
        <v>0.33</v>
      </c>
      <c r="D36" s="78">
        <f>SUMPRODUCT($F$22:$F$22,$J$22:$J$22)</f>
        <v>1254</v>
      </c>
      <c r="E36" s="78">
        <f>$D36+($C$25-SUM($D$36:$D$39))*($D36/$D$40)</f>
        <v>1254</v>
      </c>
    </row>
    <row r="37" spans="2:253" s="5" customFormat="1" ht="14.1" customHeight="1">
      <c r="B37" s="75" t="s">
        <v>33</v>
      </c>
      <c r="C37" s="84">
        <f>E37/E40</f>
        <v>0.34</v>
      </c>
      <c r="D37" s="78">
        <f>SUMPRODUCT($F$22:$F$22,$K$22:$K$22)</f>
        <v>1292</v>
      </c>
      <c r="E37" s="78">
        <f>$D37+($C$25-SUM($D$36:$D$39))*($D37/$D$40)</f>
        <v>1292</v>
      </c>
    </row>
    <row r="38" spans="2:253" s="5" customFormat="1" ht="14.1" customHeight="1">
      <c r="B38" s="75" t="s">
        <v>34</v>
      </c>
      <c r="C38" s="84">
        <f>E38/E40</f>
        <v>0.33</v>
      </c>
      <c r="D38" s="78">
        <f>SUMPRODUCT($F$22:$F$22,$L$22:$L$22)</f>
        <v>1254</v>
      </c>
      <c r="E38" s="78">
        <f>$D38+($C$25-SUM($D$36:$D$39))*($D38/$D$40)</f>
        <v>1254</v>
      </c>
    </row>
    <row r="39" spans="2:253" s="5" customFormat="1" ht="14.1" customHeight="1">
      <c r="B39" s="75" t="s">
        <v>35</v>
      </c>
      <c r="C39" s="84">
        <f>E39/E40</f>
        <v>0</v>
      </c>
      <c r="D39" s="78">
        <f>SUMPRODUCT($F$22:$F$22,$M$22:$M$22)</f>
        <v>0</v>
      </c>
      <c r="E39" s="78">
        <f>$D39+($C$25-SUM($D$36:$D$39))*($D39/$D$40)</f>
        <v>0</v>
      </c>
    </row>
    <row r="40" spans="2:253" s="5" customFormat="1" ht="12.75" customHeight="1">
      <c r="B40" s="77" t="s">
        <v>10</v>
      </c>
      <c r="C40" s="85">
        <f>SUM(C36:C39)</f>
        <v>1</v>
      </c>
      <c r="D40" s="79">
        <f>SUM(D36:D39)</f>
        <v>3800</v>
      </c>
      <c r="E40" s="79">
        <f>SUM(E36:E39)</f>
        <v>3800</v>
      </c>
    </row>
    <row r="41" spans="2:253" s="5" customFormat="1" ht="12.75" customHeight="1">
      <c r="B41" s="2"/>
      <c r="C41" s="2"/>
      <c r="D41" s="2"/>
      <c r="E41" s="76"/>
    </row>
    <row r="42" spans="2:253" s="5" customFormat="1" ht="12.75" customHeight="1">
      <c r="E42" s="20"/>
      <c r="F42" s="6"/>
    </row>
    <row r="43" spans="2:253" s="5" customFormat="1" ht="12.75" customHeight="1">
      <c r="E43" s="20"/>
    </row>
    <row r="44" spans="2:253" s="5" customFormat="1" ht="12.75" customHeight="1">
      <c r="D44" s="21"/>
      <c r="E44" s="20"/>
    </row>
    <row r="45" spans="2:253" s="5" customFormat="1" ht="12.75" customHeight="1">
      <c r="D45" s="21"/>
      <c r="E45" s="20"/>
    </row>
    <row r="46" spans="2:253" s="5" customFormat="1" ht="12.75" customHeight="1">
      <c r="E46" s="20"/>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row>
    <row r="47" spans="2:253" s="5" customFormat="1" ht="12.75" customHeight="1">
      <c r="D47" s="21"/>
      <c r="E47" s="20"/>
    </row>
    <row r="48" spans="2:253" s="5" customFormat="1" ht="12.75" customHeight="1">
      <c r="E48" s="20"/>
    </row>
    <row r="49" spans="4:5" ht="12.75" customHeight="1">
      <c r="E49" s="20"/>
    </row>
    <row r="50" spans="4:5" ht="12.75" customHeight="1">
      <c r="E50" s="4"/>
    </row>
    <row r="51" spans="4:5">
      <c r="E51" s="3"/>
    </row>
    <row r="63" spans="4:5">
      <c r="D63" s="3"/>
      <c r="E63" s="3"/>
    </row>
  </sheetData>
  <mergeCells count="4">
    <mergeCell ref="E4:F4"/>
    <mergeCell ref="D5:G5"/>
    <mergeCell ref="B13:H14"/>
    <mergeCell ref="B17:H17"/>
  </mergeCells>
  <dataValidations count="2">
    <dataValidation type="list" allowBlank="1" showInputMessage="1" showErrorMessage="1" sqref="E4" xr:uid="{00000000-0002-0000-3100-000000000000}">
      <formula1>enterprise</formula1>
    </dataValidation>
    <dataValidation type="list" allowBlank="1" showInputMessage="1" showErrorMessage="1" sqref="G22" xr:uid="{00000000-0002-0000-3100-000001000000}">
      <formula1>allocation</formula1>
    </dataValidation>
  </dataValidations>
  <pageMargins left="0.7" right="0.7" top="0.75" bottom="0.75" header="0.3" footer="0.3"/>
  <pageSetup scale="94" fitToHeight="0"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0">
    <pageSetUpPr fitToPage="1"/>
  </sheetPr>
  <dimension ref="B2:IS68"/>
  <sheetViews>
    <sheetView topLeftCell="B1" workbookViewId="0">
      <selection activeCell="B17" sqref="B17:H18"/>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E36</f>
        <v>9000</v>
      </c>
      <c r="K2" s="120">
        <f t="shared" ref="K2:M2" si="0">F36</f>
        <v>4112</v>
      </c>
      <c r="L2" s="120">
        <f t="shared" si="0"/>
        <v>5700</v>
      </c>
      <c r="M2" s="120">
        <f t="shared" si="0"/>
        <v>7000</v>
      </c>
    </row>
    <row r="3" spans="2:13" ht="14.1" customHeight="1">
      <c r="B3" s="40"/>
      <c r="C3" s="40"/>
      <c r="D3" s="40"/>
      <c r="E3" s="40"/>
      <c r="F3" s="40"/>
      <c r="G3" s="40"/>
      <c r="H3" s="40"/>
      <c r="J3" s="121">
        <f>C41</f>
        <v>0.33</v>
      </c>
      <c r="K3" s="121"/>
      <c r="L3" s="121"/>
      <c r="M3" s="121"/>
    </row>
    <row r="4" spans="2:13" ht="23.25" customHeight="1">
      <c r="B4" s="40"/>
      <c r="C4" s="40"/>
      <c r="D4" s="40"/>
      <c r="E4" s="316" t="s">
        <v>118</v>
      </c>
      <c r="F4" s="316"/>
      <c r="G4" s="41"/>
      <c r="H4" s="40"/>
      <c r="J4" s="121">
        <f t="shared" ref="J4:J7" si="1">C42</f>
        <v>0.34</v>
      </c>
    </row>
    <row r="5" spans="2:13" ht="14.1" customHeight="1">
      <c r="B5" s="42"/>
      <c r="C5" s="42"/>
      <c r="D5" s="312" t="str">
        <f>'Operating Budget'!B76</f>
        <v>Office Equipment Maintenance</v>
      </c>
      <c r="E5" s="312"/>
      <c r="F5" s="312"/>
      <c r="G5" s="312"/>
      <c r="H5" s="43"/>
      <c r="J5" s="121">
        <f t="shared" si="1"/>
        <v>0.33</v>
      </c>
    </row>
    <row r="6" spans="2:13" ht="19.5" customHeight="1">
      <c r="B6" s="40"/>
      <c r="C6" s="40"/>
      <c r="D6" s="40"/>
      <c r="E6" s="40"/>
      <c r="H6" s="40"/>
      <c r="J6" s="121">
        <f t="shared" si="1"/>
        <v>0</v>
      </c>
    </row>
    <row r="7" spans="2:13" ht="14.1" hidden="1" customHeight="1">
      <c r="B7" s="40"/>
      <c r="C7" s="40"/>
      <c r="D7" s="40"/>
      <c r="E7" s="40"/>
      <c r="F7" s="44"/>
      <c r="G7" s="44"/>
      <c r="H7" s="40"/>
      <c r="J7" s="121">
        <f t="shared" si="1"/>
        <v>1</v>
      </c>
    </row>
    <row r="8" spans="2:13" ht="14.1" customHeight="1">
      <c r="B8" s="41" t="s">
        <v>2</v>
      </c>
      <c r="C8" s="40">
        <f>'Operating Budget'!C76</f>
        <v>5290</v>
      </c>
      <c r="D8" s="40"/>
      <c r="E8" s="40"/>
      <c r="F8" s="40"/>
      <c r="G8" s="40"/>
      <c r="H8" s="40"/>
    </row>
    <row r="9" spans="2:13" ht="14.1" customHeight="1">
      <c r="B9" s="41" t="s">
        <v>3</v>
      </c>
      <c r="C9" s="40">
        <f>INDEX('Operating Budget'!$A$11:$A$107,MATCH('44'!C8,'Operating Budget'!C11:C107))</f>
        <v>44</v>
      </c>
      <c r="D9" s="40"/>
      <c r="E9" s="40"/>
      <c r="F9" s="40"/>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244</v>
      </c>
      <c r="C13" s="319"/>
      <c r="D13" s="319"/>
      <c r="E13" s="319"/>
      <c r="F13" s="319"/>
      <c r="G13" s="319"/>
      <c r="H13" s="319"/>
    </row>
    <row r="14" spans="2:13" ht="14.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t="s">
        <v>245</v>
      </c>
      <c r="C17" s="319"/>
      <c r="D17" s="319"/>
      <c r="E17" s="319"/>
      <c r="F17" s="319"/>
      <c r="G17" s="319"/>
      <c r="H17" s="319"/>
    </row>
    <row r="18" spans="2:13" ht="14.1" hidden="1" customHeight="1">
      <c r="B18" s="319"/>
      <c r="C18" s="319"/>
      <c r="D18" s="319"/>
      <c r="E18" s="319"/>
      <c r="F18" s="319"/>
      <c r="G18" s="319"/>
      <c r="H18" s="319"/>
    </row>
    <row r="19" spans="2:13" ht="14.1" customHeight="1">
      <c r="B19" s="310"/>
      <c r="C19" s="310"/>
      <c r="D19" s="310"/>
      <c r="E19" s="310"/>
      <c r="F19" s="310"/>
      <c r="G19" s="310"/>
      <c r="H19" s="310"/>
    </row>
    <row r="20" spans="2:13" s="5" customFormat="1" ht="14.1" customHeight="1">
      <c r="B20" s="36" t="s">
        <v>7</v>
      </c>
      <c r="C20" s="37"/>
      <c r="D20" s="37"/>
      <c r="E20" s="37"/>
      <c r="F20" s="37"/>
      <c r="G20" s="37"/>
      <c r="H20" s="38"/>
    </row>
    <row r="21" spans="2:13" s="5" customFormat="1" ht="14.1" customHeight="1">
      <c r="B21" s="40"/>
      <c r="C21" s="41"/>
      <c r="D21" s="40"/>
      <c r="E21" s="40"/>
      <c r="F21" s="40"/>
      <c r="G21" s="40"/>
      <c r="H21" s="40"/>
    </row>
    <row r="22" spans="2:13" s="5" customFormat="1" ht="14.1" customHeight="1">
      <c r="B22" s="67" t="str">
        <f>$D$5</f>
        <v>Office Equipment Maintenance</v>
      </c>
      <c r="C22" s="67"/>
      <c r="D22" s="68"/>
      <c r="E22" s="68"/>
      <c r="F22" s="68" t="s">
        <v>10</v>
      </c>
      <c r="G22" s="69" t="s">
        <v>31</v>
      </c>
      <c r="H22" s="40"/>
      <c r="J22" s="73" t="s">
        <v>32</v>
      </c>
      <c r="K22" s="73" t="s">
        <v>33</v>
      </c>
      <c r="L22" s="73" t="s">
        <v>34</v>
      </c>
      <c r="M22" s="73" t="s">
        <v>35</v>
      </c>
    </row>
    <row r="23" spans="2:13" s="5" customFormat="1" ht="14.1" hidden="1" customHeight="1">
      <c r="B23" s="5" t="s">
        <v>246</v>
      </c>
      <c r="C23" s="57"/>
      <c r="D23" s="80"/>
      <c r="E23" s="66"/>
      <c r="F23" s="66">
        <v>0</v>
      </c>
      <c r="G23" s="71" t="s">
        <v>128</v>
      </c>
      <c r="H23" s="40"/>
      <c r="J23" s="74">
        <f>INDEX(MASTER!$C$25:$F$42,MATCH($G23,allocation,0),MATCH(J$22,MASTER!$C$24:$F$24,0))</f>
        <v>0.33</v>
      </c>
      <c r="K23" s="74">
        <f>INDEX(MASTER!$C$25:$F$42,MATCH($G23,allocation,0),MATCH(K$22,MASTER!$C$24:$F$24,0))</f>
        <v>0.34</v>
      </c>
      <c r="L23" s="74">
        <f>INDEX(MASTER!$C$25:$F$42,MATCH($G23,allocation,0),MATCH(L$22,MASTER!$C$24:$F$24,0))</f>
        <v>0.33</v>
      </c>
      <c r="M23" s="74">
        <f>INDEX(MASTER!$C$25:$F$42,MATCH($G23,allocation,0),MATCH(M$22,MASTER!$C$24:$F$24,0))</f>
        <v>0</v>
      </c>
    </row>
    <row r="24" spans="2:13" s="5" customFormat="1" ht="14.1" customHeight="1">
      <c r="B24" s="5" t="s">
        <v>247</v>
      </c>
      <c r="C24" s="57"/>
      <c r="D24" s="80"/>
      <c r="E24" s="66"/>
      <c r="F24" s="66">
        <v>1900</v>
      </c>
      <c r="G24" s="71" t="s">
        <v>128</v>
      </c>
      <c r="H24" s="40"/>
      <c r="J24" s="74">
        <f>INDEX(MASTER!$C$25:$F$42,MATCH($G24,allocation,0),MATCH(J$22,MASTER!$C$24:$F$24,0))</f>
        <v>0.33</v>
      </c>
      <c r="K24" s="74">
        <f>INDEX(MASTER!$C$25:$F$42,MATCH($G24,allocation,0),MATCH(K$22,MASTER!$C$24:$F$24,0))</f>
        <v>0.34</v>
      </c>
      <c r="L24" s="74">
        <f>INDEX(MASTER!$C$25:$F$42,MATCH($G24,allocation,0),MATCH(L$22,MASTER!$C$24:$F$24,0))</f>
        <v>0.33</v>
      </c>
      <c r="M24" s="74">
        <f>INDEX(MASTER!$C$25:$F$42,MATCH($G24,allocation,0),MATCH(M$22,MASTER!$C$24:$F$24,0))</f>
        <v>0</v>
      </c>
    </row>
    <row r="25" spans="2:13" s="5" customFormat="1" ht="14.1" customHeight="1">
      <c r="B25" s="5" t="s">
        <v>248</v>
      </c>
      <c r="C25" s="57"/>
      <c r="D25" s="80"/>
      <c r="E25" s="66"/>
      <c r="F25" s="66">
        <v>1000</v>
      </c>
      <c r="G25" s="81" t="s">
        <v>128</v>
      </c>
      <c r="H25" s="40"/>
      <c r="J25" s="74">
        <f>INDEX(MASTER!$C$25:$F$42,MATCH($G25,allocation,0),MATCH(J$22,MASTER!$C$24:$F$24,0))</f>
        <v>0.33</v>
      </c>
      <c r="K25" s="74">
        <f>INDEX(MASTER!$C$25:$F$42,MATCH($G25,allocation,0),MATCH(K$22,MASTER!$C$24:$F$24,0))</f>
        <v>0.34</v>
      </c>
      <c r="L25" s="74">
        <f>INDEX(MASTER!$C$25:$F$42,MATCH($G25,allocation,0),MATCH(L$22,MASTER!$C$24:$F$24,0))</f>
        <v>0.33</v>
      </c>
      <c r="M25" s="74">
        <f>INDEX(MASTER!$C$25:$F$42,MATCH($G25,allocation,0),MATCH(M$22,MASTER!$C$24:$F$24,0))</f>
        <v>0</v>
      </c>
    </row>
    <row r="26" spans="2:13" s="5" customFormat="1" ht="14.1" customHeight="1">
      <c r="B26" s="5" t="s">
        <v>249</v>
      </c>
      <c r="C26" s="57"/>
      <c r="D26" s="80"/>
      <c r="E26" s="66"/>
      <c r="F26" s="66">
        <v>900</v>
      </c>
      <c r="G26" s="81" t="s">
        <v>128</v>
      </c>
      <c r="H26" s="40"/>
      <c r="J26" s="74"/>
      <c r="K26" s="74"/>
      <c r="L26" s="74"/>
      <c r="M26" s="74"/>
    </row>
    <row r="27" spans="2:13" s="5" customFormat="1" ht="14.1" customHeight="1">
      <c r="B27" s="5" t="s">
        <v>250</v>
      </c>
      <c r="C27" s="57"/>
      <c r="D27" s="80"/>
      <c r="E27" s="66"/>
      <c r="F27" s="66">
        <v>2500</v>
      </c>
      <c r="G27" s="81" t="s">
        <v>128</v>
      </c>
      <c r="H27" s="40"/>
      <c r="J27" s="74">
        <f>INDEX(MASTER!$C$25:$F$42,MATCH($G27,allocation,0),MATCH(J$22,MASTER!$C$24:$F$24,0))</f>
        <v>0.33</v>
      </c>
      <c r="K27" s="74">
        <f>INDEX(MASTER!$C$25:$F$42,MATCH($G27,allocation,0),MATCH(K$22,MASTER!$C$24:$F$24,0))</f>
        <v>0.34</v>
      </c>
      <c r="L27" s="74">
        <f>INDEX(MASTER!$C$25:$F$42,MATCH($G27,allocation,0),MATCH(L$22,MASTER!$C$24:$F$24,0))</f>
        <v>0.33</v>
      </c>
      <c r="M27" s="74">
        <f>INDEX(MASTER!$C$25:$F$42,MATCH($G27,allocation,0),MATCH(M$22,MASTER!$C$24:$F$24,0))</f>
        <v>0</v>
      </c>
    </row>
    <row r="28" spans="2:13" s="5" customFormat="1" ht="14.1" customHeight="1" thickBot="1">
      <c r="B28" s="49" t="s">
        <v>10</v>
      </c>
      <c r="C28" s="49"/>
      <c r="D28" s="49"/>
      <c r="E28" s="49"/>
      <c r="F28" s="50">
        <f>SUM(F23:F27)</f>
        <v>6300</v>
      </c>
      <c r="G28" s="49"/>
      <c r="H28" s="40"/>
    </row>
    <row r="29" spans="2:13" s="5" customFormat="1" ht="14.1" customHeight="1">
      <c r="B29" s="202"/>
      <c r="C29" s="41"/>
      <c r="G29" s="40"/>
      <c r="H29" s="40"/>
    </row>
    <row r="30" spans="2:13" s="5" customFormat="1" ht="14.1" customHeight="1">
      <c r="B30" s="41" t="s">
        <v>11</v>
      </c>
      <c r="C30" s="35">
        <f>ROUNDUP($F$28,-$B$31)</f>
        <v>7000</v>
      </c>
      <c r="F30" s="40"/>
      <c r="G30" s="40"/>
      <c r="H30" s="40"/>
    </row>
    <row r="31" spans="2:13" s="5" customFormat="1" ht="14.1" customHeight="1">
      <c r="B31" s="51">
        <v>3</v>
      </c>
      <c r="C31" s="41"/>
      <c r="D31" s="40"/>
      <c r="E31" s="40"/>
      <c r="F31" s="40"/>
      <c r="G31" s="40"/>
      <c r="H31" s="40"/>
    </row>
    <row r="32" spans="2:13" s="5" customFormat="1" ht="14.1" customHeight="1">
      <c r="B32" s="40"/>
      <c r="C32" s="41"/>
      <c r="D32" s="40"/>
      <c r="E32" s="40"/>
      <c r="F32" s="40"/>
      <c r="G32" s="40"/>
      <c r="H32" s="40"/>
    </row>
    <row r="33" spans="2:8" s="5" customFormat="1" ht="14.1" customHeight="1">
      <c r="B33" s="40"/>
      <c r="C33" s="41"/>
      <c r="D33" s="40"/>
      <c r="E33" s="53" t="s">
        <v>12</v>
      </c>
      <c r="F33" s="54" t="s">
        <v>13</v>
      </c>
      <c r="G33" s="54" t="s">
        <v>14</v>
      </c>
      <c r="H33" s="55" t="s">
        <v>15</v>
      </c>
    </row>
    <row r="34" spans="2:8" s="5" customFormat="1" ht="14.1" customHeight="1">
      <c r="B34" s="36"/>
      <c r="C34" s="36"/>
      <c r="D34" s="36"/>
      <c r="E34" s="53" t="str">
        <f>"FY "&amp;MASTER!$B$4-1&amp;" - "&amp;MASTER!$B$4</f>
        <v>FY 2020 - 2021</v>
      </c>
      <c r="F34" s="56">
        <f>MASTER!$B$6</f>
        <v>44255</v>
      </c>
      <c r="G34" s="54" t="str">
        <f>"June "&amp;MASTER!$B$4</f>
        <v>June 2021</v>
      </c>
      <c r="H34" s="55" t="str">
        <f>"FY "&amp;MASTER!$B$4&amp;" - "&amp;MASTER!$B$5</f>
        <v>FY 2021 - 2022</v>
      </c>
    </row>
    <row r="35" spans="2:8" s="5" customFormat="1" ht="14.1" customHeight="1">
      <c r="B35" s="57"/>
      <c r="C35" s="57"/>
      <c r="D35" s="58"/>
      <c r="E35" s="59"/>
      <c r="F35" s="60"/>
      <c r="G35" s="60"/>
      <c r="H35" s="58"/>
    </row>
    <row r="36" spans="2:8" s="5" customFormat="1" ht="14.1" customHeight="1">
      <c r="B36" s="40" t="str">
        <f>$D$5</f>
        <v>Office Equipment Maintenance</v>
      </c>
      <c r="C36" s="41"/>
      <c r="D36" s="58"/>
      <c r="E36" s="61">
        <v>9000</v>
      </c>
      <c r="F36" s="62">
        <v>4112</v>
      </c>
      <c r="G36" s="62">
        <v>5700</v>
      </c>
      <c r="H36" s="63">
        <f>$C$30</f>
        <v>7000</v>
      </c>
    </row>
    <row r="37" spans="2:8" s="5" customFormat="1" ht="14.1" customHeight="1">
      <c r="B37" s="40"/>
      <c r="C37" s="41"/>
      <c r="D37" s="58"/>
      <c r="E37" s="59"/>
      <c r="F37" s="59"/>
      <c r="G37" s="58"/>
      <c r="H37" s="82"/>
    </row>
    <row r="38" spans="2:8" s="5" customFormat="1" ht="14.1" customHeight="1">
      <c r="B38" s="40"/>
      <c r="C38" s="41"/>
      <c r="D38" s="58"/>
      <c r="E38" s="58"/>
      <c r="F38" s="58"/>
      <c r="G38" s="58"/>
      <c r="H38" s="63"/>
    </row>
    <row r="39" spans="2:8" s="5" customFormat="1" ht="14.1" customHeight="1">
      <c r="B39" s="2"/>
      <c r="C39" s="1"/>
    </row>
    <row r="40" spans="2:8" s="5" customFormat="1" ht="14.1" customHeight="1">
      <c r="B40" s="36" t="s">
        <v>39</v>
      </c>
      <c r="C40" s="36"/>
      <c r="D40" s="55" t="s">
        <v>40</v>
      </c>
      <c r="E40" s="55" t="s">
        <v>41</v>
      </c>
    </row>
    <row r="41" spans="2:8" s="5" customFormat="1" ht="14.1" customHeight="1">
      <c r="B41" s="75" t="s">
        <v>32</v>
      </c>
      <c r="C41" s="84">
        <f>E41/E45</f>
        <v>0.33</v>
      </c>
      <c r="D41" s="78">
        <f>SUMPRODUCT($F$23:$F$27,$J$23:$J$27)</f>
        <v>1782</v>
      </c>
      <c r="E41" s="78">
        <f>$D41+($C$30-SUM($D$41:$D$44))*($D41/$D$45)</f>
        <v>2310</v>
      </c>
    </row>
    <row r="42" spans="2:8" s="5" customFormat="1" ht="14.1" customHeight="1">
      <c r="B42" s="75" t="s">
        <v>33</v>
      </c>
      <c r="C42" s="84">
        <f>E42/E45</f>
        <v>0.34</v>
      </c>
      <c r="D42" s="78">
        <f>SUMPRODUCT($F$23:$F$27,$K$23:$K$27)</f>
        <v>1836</v>
      </c>
      <c r="E42" s="78">
        <f>$D42+($C$30-SUM($D$41:$D$44))*($D42/$D$45)</f>
        <v>2380</v>
      </c>
    </row>
    <row r="43" spans="2:8" s="5" customFormat="1" ht="14.1" customHeight="1">
      <c r="B43" s="75" t="s">
        <v>34</v>
      </c>
      <c r="C43" s="84">
        <f>E43/E45</f>
        <v>0.33</v>
      </c>
      <c r="D43" s="78">
        <f>SUMPRODUCT($F$23:$F$27,$L$23:$L$27)</f>
        <v>1782</v>
      </c>
      <c r="E43" s="78">
        <f>$D43+($C$30-SUM($D$41:$D$44))*($D43/$D$45)</f>
        <v>2310</v>
      </c>
    </row>
    <row r="44" spans="2:8" s="5" customFormat="1" ht="14.1" customHeight="1">
      <c r="B44" s="75" t="s">
        <v>35</v>
      </c>
      <c r="C44" s="84">
        <f>E44/E45</f>
        <v>0</v>
      </c>
      <c r="D44" s="78">
        <f>SUMPRODUCT($F$23:$F$27,$M$23:$M$27)</f>
        <v>0</v>
      </c>
      <c r="E44" s="78">
        <f>$D44+($C$30-SUM($D$41:$D$44))*($D44/$D$45)</f>
        <v>0</v>
      </c>
    </row>
    <row r="45" spans="2:8" s="5" customFormat="1" ht="12.75" customHeight="1">
      <c r="B45" s="77" t="s">
        <v>10</v>
      </c>
      <c r="C45" s="85">
        <f>SUM(C41:C44)</f>
        <v>1</v>
      </c>
      <c r="D45" s="79">
        <f>SUM(D41:D44)</f>
        <v>5400</v>
      </c>
      <c r="E45" s="79">
        <f>SUM(E41:E44)</f>
        <v>7000</v>
      </c>
    </row>
    <row r="46" spans="2:8" s="5" customFormat="1" ht="12.75" customHeight="1">
      <c r="B46" s="2"/>
      <c r="C46" s="2"/>
      <c r="D46" s="2"/>
      <c r="E46" s="76"/>
    </row>
    <row r="47" spans="2:8" s="5" customFormat="1" ht="12.75" customHeight="1">
      <c r="E47" s="20"/>
      <c r="F47" s="6"/>
    </row>
    <row r="48" spans="2:8" s="5" customFormat="1" ht="12.75" customHeight="1">
      <c r="E48" s="20"/>
    </row>
    <row r="49" spans="4:253" s="5" customFormat="1" ht="12.75" customHeight="1">
      <c r="D49" s="21"/>
      <c r="E49" s="20"/>
    </row>
    <row r="50" spans="4:253" s="5" customFormat="1" ht="12.75" customHeight="1">
      <c r="D50" s="21"/>
      <c r="E50" s="20"/>
    </row>
    <row r="51" spans="4:253" s="5" customFormat="1" ht="12.75" customHeight="1">
      <c r="E51" s="20"/>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row>
    <row r="52" spans="4:253" s="5" customFormat="1" ht="12.75" customHeight="1">
      <c r="D52" s="21"/>
      <c r="E52" s="20"/>
    </row>
    <row r="53" spans="4:253" s="5" customFormat="1" ht="12.75" customHeight="1">
      <c r="E53" s="20"/>
    </row>
    <row r="54" spans="4:253" ht="12.75" customHeight="1">
      <c r="E54" s="20"/>
    </row>
    <row r="55" spans="4:253" ht="12.75" customHeight="1">
      <c r="E55" s="4"/>
    </row>
    <row r="56" spans="4:253">
      <c r="E56" s="3"/>
    </row>
    <row r="68" spans="4:5">
      <c r="D68" s="3"/>
      <c r="E68" s="3"/>
    </row>
  </sheetData>
  <mergeCells count="4">
    <mergeCell ref="E4:F4"/>
    <mergeCell ref="D5:G5"/>
    <mergeCell ref="B13:H14"/>
    <mergeCell ref="B17:H18"/>
  </mergeCells>
  <dataValidations count="2">
    <dataValidation type="list" allowBlank="1" showInputMessage="1" showErrorMessage="1" sqref="E4" xr:uid="{00000000-0002-0000-3200-000000000000}">
      <formula1>enterprise</formula1>
    </dataValidation>
    <dataValidation type="list" allowBlank="1" showInputMessage="1" showErrorMessage="1" sqref="G23:G27" xr:uid="{00000000-0002-0000-3200-000001000000}">
      <formula1>allocation</formula1>
    </dataValidation>
  </dataValidations>
  <pageMargins left="0.7" right="0.7" top="0.75" bottom="0.75" header="0.3" footer="0.3"/>
  <pageSetup scale="94" fitToHeight="0"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1">
    <pageSetUpPr fitToPage="1"/>
  </sheetPr>
  <dimension ref="B2:IS69"/>
  <sheetViews>
    <sheetView topLeftCell="A3" workbookViewId="0">
      <selection activeCell="D27" sqref="D27"/>
    </sheetView>
  </sheetViews>
  <sheetFormatPr defaultColWidth="8.85546875" defaultRowHeight="12.75"/>
  <cols>
    <col min="2" max="2" width="16.28515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E37</f>
        <v>8000</v>
      </c>
      <c r="K2" s="120">
        <f>F37</f>
        <v>3000</v>
      </c>
      <c r="L2" s="120">
        <f>G37</f>
        <v>3000</v>
      </c>
      <c r="M2" s="120">
        <f>H37</f>
        <v>8000</v>
      </c>
    </row>
    <row r="3" spans="2:13" ht="14.1" customHeight="1">
      <c r="B3" s="40"/>
      <c r="C3" s="40"/>
      <c r="D3" s="40"/>
      <c r="E3" s="40"/>
      <c r="F3" s="40"/>
      <c r="G3" s="40"/>
      <c r="H3" s="40"/>
      <c r="J3" s="121">
        <f>C42</f>
        <v>0.33</v>
      </c>
      <c r="K3" s="121"/>
      <c r="L3" s="121"/>
      <c r="M3" s="121"/>
    </row>
    <row r="4" spans="2:13" ht="23.25" customHeight="1">
      <c r="B4" s="40"/>
      <c r="C4" s="40"/>
      <c r="D4" s="40"/>
      <c r="E4" s="316" t="s">
        <v>118</v>
      </c>
      <c r="F4" s="316"/>
      <c r="G4" s="41"/>
      <c r="H4" s="40"/>
      <c r="J4" s="121">
        <f>C43</f>
        <v>0.34000000000000008</v>
      </c>
    </row>
    <row r="5" spans="2:13" ht="14.1" customHeight="1">
      <c r="B5" s="42"/>
      <c r="C5" s="42"/>
      <c r="D5" s="312" t="s">
        <v>251</v>
      </c>
      <c r="E5" s="312"/>
      <c r="F5" s="312"/>
      <c r="G5" s="312"/>
      <c r="H5" s="43"/>
      <c r="J5" s="121">
        <f>C44</f>
        <v>0.33</v>
      </c>
    </row>
    <row r="6" spans="2:13" ht="19.5" customHeight="1">
      <c r="B6" s="40"/>
      <c r="C6" s="40"/>
      <c r="D6" s="40"/>
      <c r="E6" s="40"/>
      <c r="H6" s="40"/>
      <c r="J6" s="121">
        <f>C45</f>
        <v>0</v>
      </c>
    </row>
    <row r="7" spans="2:13" ht="14.1" hidden="1" customHeight="1">
      <c r="B7" s="40"/>
      <c r="C7" s="40"/>
      <c r="D7" s="40"/>
      <c r="E7" s="40"/>
      <c r="F7" s="44"/>
      <c r="G7" s="44"/>
      <c r="H7" s="40"/>
    </row>
    <row r="8" spans="2:13" ht="14.1" customHeight="1">
      <c r="B8" s="41" t="s">
        <v>2</v>
      </c>
      <c r="C8" s="40">
        <f>'Operating Budget'!C77</f>
        <v>5295</v>
      </c>
      <c r="D8" s="40"/>
      <c r="E8" s="40"/>
      <c r="F8" s="40"/>
      <c r="G8" s="40"/>
      <c r="H8" s="40"/>
    </row>
    <row r="9" spans="2:13" ht="14.1" customHeight="1">
      <c r="B9" s="41" t="s">
        <v>3</v>
      </c>
      <c r="C9" s="40">
        <f>INDEX('Operating Budget'!$A$11:$A$107,MATCH('45'!C8,'Operating Budget'!C11:C107))</f>
        <v>45</v>
      </c>
      <c r="D9" s="40"/>
      <c r="E9" s="40"/>
      <c r="F9" s="40"/>
      <c r="G9" s="40"/>
      <c r="H9" s="40"/>
    </row>
    <row r="10" spans="2:13" ht="14.1" customHeight="1">
      <c r="B10" s="40"/>
      <c r="C10" s="40"/>
      <c r="D10" s="40"/>
      <c r="E10" s="202"/>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252</v>
      </c>
      <c r="C13" s="319"/>
      <c r="D13" s="319"/>
      <c r="E13" s="319"/>
      <c r="F13" s="319"/>
      <c r="G13" s="319"/>
      <c r="H13" s="319"/>
    </row>
    <row r="14" spans="2:13" ht="14.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t="s">
        <v>43</v>
      </c>
      <c r="C17" s="319"/>
      <c r="D17" s="319"/>
      <c r="E17" s="319"/>
      <c r="F17" s="319"/>
      <c r="G17" s="319"/>
      <c r="H17" s="319"/>
    </row>
    <row r="18" spans="2:13" ht="14.1" hidden="1" customHeight="1">
      <c r="B18" s="319"/>
      <c r="C18" s="319"/>
      <c r="D18" s="319"/>
      <c r="E18" s="319"/>
      <c r="F18" s="319"/>
      <c r="G18" s="319"/>
      <c r="H18" s="319"/>
    </row>
    <row r="19" spans="2:13" ht="14.1" customHeight="1">
      <c r="B19" s="310"/>
      <c r="C19" s="310"/>
      <c r="D19" s="310"/>
      <c r="E19" s="310"/>
      <c r="F19" s="310"/>
      <c r="G19" s="310"/>
      <c r="H19" s="310"/>
    </row>
    <row r="20" spans="2:13" s="5" customFormat="1" ht="14.1" customHeight="1">
      <c r="B20" s="36" t="s">
        <v>7</v>
      </c>
      <c r="C20" s="37"/>
      <c r="D20" s="37"/>
      <c r="E20" s="37"/>
      <c r="F20" s="37"/>
      <c r="G20" s="37"/>
      <c r="H20" s="38"/>
    </row>
    <row r="21" spans="2:13" s="5" customFormat="1" ht="14.1" customHeight="1">
      <c r="B21" s="40"/>
      <c r="C21" s="41"/>
      <c r="D21" s="40"/>
      <c r="E21" s="40"/>
      <c r="F21" s="40"/>
      <c r="G21" s="40"/>
      <c r="H21" s="40"/>
    </row>
    <row r="22" spans="2:13" s="5" customFormat="1" ht="14.1" customHeight="1">
      <c r="B22" s="67" t="str">
        <f>LEFT($D$5,5)</f>
        <v>Gener</v>
      </c>
      <c r="C22" s="68" t="s">
        <v>253</v>
      </c>
      <c r="E22" s="68"/>
      <c r="F22" s="68"/>
      <c r="G22" s="68" t="s">
        <v>10</v>
      </c>
      <c r="H22" s="69" t="s">
        <v>31</v>
      </c>
      <c r="J22" s="73" t="s">
        <v>32</v>
      </c>
      <c r="K22" s="73" t="s">
        <v>33</v>
      </c>
      <c r="L22" s="73" t="s">
        <v>34</v>
      </c>
      <c r="M22" s="73" t="s">
        <v>35</v>
      </c>
    </row>
    <row r="23" spans="2:13" s="5" customFormat="1" ht="14.1" customHeight="1">
      <c r="B23" s="5" t="s">
        <v>254</v>
      </c>
      <c r="C23" s="66">
        <v>3000</v>
      </c>
      <c r="D23" s="201"/>
      <c r="E23" s="80"/>
      <c r="F23" s="80"/>
      <c r="G23" s="66">
        <f>C23</f>
        <v>3000</v>
      </c>
      <c r="H23" s="71" t="s">
        <v>128</v>
      </c>
      <c r="J23" s="74">
        <f>INDEX(MASTER!$C$25:$F$42,MATCH($H23,allocation,0),MATCH(J$22,MASTER!$C$24:$F$24,0))</f>
        <v>0.33</v>
      </c>
      <c r="K23" s="74">
        <f>INDEX(MASTER!$C$25:$F$42,MATCH($H23,allocation,0),MATCH(K$22,MASTER!$C$24:$F$24,0))</f>
        <v>0.34</v>
      </c>
      <c r="L23" s="74">
        <f>INDEX(MASTER!$C$25:$F$42,MATCH($H23,allocation,0),MATCH(L$22,MASTER!$C$24:$F$24,0))</f>
        <v>0.33</v>
      </c>
      <c r="M23" s="74">
        <f>INDEX(MASTER!$C$25:$F$42,MATCH($H23,allocation,0),MATCH(M$22,MASTER!$C$24:$F$24,0))</f>
        <v>0</v>
      </c>
    </row>
    <row r="24" spans="2:13" s="5" customFormat="1" ht="14.1" hidden="1" customHeight="1">
      <c r="B24" s="5" t="s">
        <v>255</v>
      </c>
      <c r="C24" s="66">
        <v>0</v>
      </c>
      <c r="D24" s="70">
        <f t="shared" ref="D24" si="0">C24*(1.02^$F24)</f>
        <v>0</v>
      </c>
      <c r="E24" s="80">
        <v>1</v>
      </c>
      <c r="F24" s="80">
        <v>20</v>
      </c>
      <c r="G24" s="66">
        <f t="shared" ref="G24:G27" si="1">C24</f>
        <v>0</v>
      </c>
      <c r="H24" s="81" t="s">
        <v>81</v>
      </c>
      <c r="J24" s="74"/>
      <c r="K24" s="74"/>
      <c r="L24" s="74"/>
      <c r="M24" s="74"/>
    </row>
    <row r="25" spans="2:13" s="5" customFormat="1" ht="14.1" customHeight="1">
      <c r="B25" s="5" t="s">
        <v>231</v>
      </c>
      <c r="C25" s="66">
        <v>5000</v>
      </c>
      <c r="D25" s="70"/>
      <c r="E25" s="80"/>
      <c r="F25" s="80"/>
      <c r="G25" s="66">
        <f t="shared" si="1"/>
        <v>5000</v>
      </c>
      <c r="H25" s="81" t="s">
        <v>256</v>
      </c>
      <c r="J25" s="74"/>
      <c r="K25" s="74"/>
      <c r="L25" s="74"/>
      <c r="M25" s="74"/>
    </row>
    <row r="26" spans="2:13" s="5" customFormat="1" ht="14.1" customHeight="1">
      <c r="C26" s="66"/>
      <c r="D26" s="70"/>
      <c r="E26" s="80"/>
      <c r="F26" s="80"/>
      <c r="G26" s="66">
        <f t="shared" si="1"/>
        <v>0</v>
      </c>
      <c r="H26" s="81" t="s">
        <v>256</v>
      </c>
      <c r="J26" s="74">
        <f>INDEX(MASTER!$C$25:$F$42,MATCH($H26,allocation,0),MATCH(J$22,MASTER!$C$24:$F$24,0))</f>
        <v>0.48499999999999999</v>
      </c>
      <c r="K26" s="74">
        <f>INDEX(MASTER!$C$25:$F$42,MATCH($H26,allocation,0),MATCH(K$22,MASTER!$C$24:$F$24,0))</f>
        <v>0.51500000000000001</v>
      </c>
      <c r="L26" s="74">
        <f>INDEX(MASTER!$C$25:$F$42,MATCH($H26,allocation,0),MATCH(L$22,MASTER!$C$24:$F$24,0))</f>
        <v>0</v>
      </c>
      <c r="M26" s="74">
        <f>INDEX(MASTER!$C$25:$F$42,MATCH($H26,allocation,0),MATCH(M$22,MASTER!$C$24:$F$24,0))</f>
        <v>0</v>
      </c>
    </row>
    <row r="27" spans="2:13" s="5" customFormat="1" ht="14.1" customHeight="1">
      <c r="C27" s="66"/>
      <c r="D27" s="70"/>
      <c r="E27" s="80"/>
      <c r="F27" s="80"/>
      <c r="G27" s="66">
        <f t="shared" si="1"/>
        <v>0</v>
      </c>
      <c r="H27" s="81" t="s">
        <v>128</v>
      </c>
      <c r="J27" s="74">
        <f>INDEX(MASTER!$C$25:$F$42,MATCH($H27,allocation,0),MATCH(J$22,MASTER!$C$24:$F$24,0))</f>
        <v>0.33</v>
      </c>
      <c r="K27" s="74">
        <f>INDEX(MASTER!$C$25:$F$42,MATCH($H27,allocation,0),MATCH(K$22,MASTER!$C$24:$F$24,0))</f>
        <v>0.34</v>
      </c>
      <c r="L27" s="74">
        <f>INDEX(MASTER!$C$25:$F$42,MATCH($H27,allocation,0),MATCH(L$22,MASTER!$C$24:$F$24,0))</f>
        <v>0.33</v>
      </c>
      <c r="M27" s="74">
        <f>INDEX(MASTER!$C$25:$F$42,MATCH($H27,allocation,0),MATCH(M$22,MASTER!$C$24:$F$24,0))</f>
        <v>0</v>
      </c>
    </row>
    <row r="28" spans="2:13" s="5" customFormat="1" ht="14.1" customHeight="1">
      <c r="B28" s="49" t="s">
        <v>10</v>
      </c>
      <c r="C28" s="49"/>
      <c r="D28" s="49"/>
      <c r="E28" s="49"/>
      <c r="F28" s="49"/>
      <c r="G28" s="50">
        <f>SUM(G23:G27)</f>
        <v>8000</v>
      </c>
      <c r="H28" s="49"/>
    </row>
    <row r="29" spans="2:13" s="5" customFormat="1" ht="14.1" customHeight="1">
      <c r="B29" s="40"/>
      <c r="C29" s="41"/>
      <c r="D29" s="6"/>
      <c r="F29" s="242"/>
      <c r="G29" s="40"/>
      <c r="H29" s="40"/>
    </row>
    <row r="30" spans="2:13" s="5" customFormat="1" ht="14.1" customHeight="1">
      <c r="B30" s="41" t="s">
        <v>11</v>
      </c>
      <c r="C30" s="35">
        <f>ROUNDUP($G$28,-$B$31)</f>
        <v>8000</v>
      </c>
      <c r="D30" s="6"/>
      <c r="E30" s="242"/>
      <c r="F30" s="242"/>
      <c r="G30" s="40"/>
      <c r="H30" s="40"/>
    </row>
    <row r="31" spans="2:13" s="5" customFormat="1" ht="14.1" customHeight="1">
      <c r="B31" s="51">
        <v>3</v>
      </c>
      <c r="C31" s="41"/>
      <c r="D31" s="202"/>
      <c r="E31" s="40"/>
      <c r="F31" s="243"/>
      <c r="G31" s="40"/>
      <c r="H31" s="40"/>
    </row>
    <row r="32" spans="2:13" s="5" customFormat="1" ht="14.1" customHeight="1">
      <c r="B32" s="40"/>
      <c r="C32" s="41"/>
      <c r="D32" s="202"/>
      <c r="E32" s="40"/>
      <c r="F32" s="243"/>
      <c r="G32" s="40"/>
      <c r="H32" s="40"/>
    </row>
    <row r="33" spans="2:8" s="5" customFormat="1" ht="14.1" customHeight="1">
      <c r="B33" s="40"/>
      <c r="C33" s="41"/>
      <c r="D33" s="202"/>
      <c r="E33" s="40"/>
      <c r="F33" s="243"/>
      <c r="G33" s="40"/>
      <c r="H33" s="40"/>
    </row>
    <row r="34" spans="2:8" s="5" customFormat="1" ht="14.1" customHeight="1">
      <c r="B34" s="40"/>
      <c r="C34" s="41"/>
      <c r="D34" s="40"/>
      <c r="E34" s="53" t="s">
        <v>12</v>
      </c>
      <c r="F34" s="54" t="s">
        <v>13</v>
      </c>
      <c r="G34" s="54" t="s">
        <v>14</v>
      </c>
      <c r="H34" s="55" t="s">
        <v>15</v>
      </c>
    </row>
    <row r="35" spans="2:8" s="5" customFormat="1" ht="14.1" customHeight="1">
      <c r="B35" s="36"/>
      <c r="C35" s="36"/>
      <c r="D35" s="36"/>
      <c r="E35" s="53" t="str">
        <f>"FY "&amp;MASTER!$B$4-1&amp;" - "&amp;MASTER!$B$4</f>
        <v>FY 2020 - 2021</v>
      </c>
      <c r="F35" s="56">
        <f>MASTER!$B$6</f>
        <v>44255</v>
      </c>
      <c r="G35" s="54" t="str">
        <f>"June "&amp;MASTER!$B$4</f>
        <v>June 2021</v>
      </c>
      <c r="H35" s="55" t="str">
        <f>"FY "&amp;MASTER!$B$4&amp;" - "&amp;MASTER!$B$5</f>
        <v>FY 2021 - 2022</v>
      </c>
    </row>
    <row r="36" spans="2:8" s="5" customFormat="1" ht="14.1" customHeight="1">
      <c r="B36" s="57"/>
      <c r="C36" s="57"/>
      <c r="D36" s="58"/>
      <c r="E36" s="59"/>
      <c r="F36" s="60"/>
      <c r="G36" s="60"/>
      <c r="H36" s="58"/>
    </row>
    <row r="37" spans="2:8" s="5" customFormat="1" ht="14.1" customHeight="1">
      <c r="B37" s="40" t="str">
        <f>$D$5</f>
        <v>General Capital Replacement</v>
      </c>
      <c r="C37" s="41"/>
      <c r="D37" s="58"/>
      <c r="E37" s="61">
        <v>8000</v>
      </c>
      <c r="F37" s="62">
        <v>3000</v>
      </c>
      <c r="G37" s="62">
        <v>3000</v>
      </c>
      <c r="H37" s="63">
        <f>$C$30</f>
        <v>8000</v>
      </c>
    </row>
    <row r="38" spans="2:8" s="5" customFormat="1" ht="14.1" customHeight="1">
      <c r="B38" s="40"/>
      <c r="C38" s="41"/>
      <c r="D38" s="58"/>
      <c r="E38" s="59"/>
      <c r="F38" s="59"/>
      <c r="G38" s="58"/>
      <c r="H38" s="82"/>
    </row>
    <row r="39" spans="2:8" s="5" customFormat="1" ht="14.1" customHeight="1">
      <c r="B39" s="40"/>
      <c r="C39" s="41"/>
      <c r="D39" s="58"/>
      <c r="E39" s="58"/>
      <c r="F39" s="58"/>
      <c r="G39" s="58"/>
      <c r="H39" s="63"/>
    </row>
    <row r="40" spans="2:8" s="5" customFormat="1" ht="14.1" customHeight="1">
      <c r="B40" s="2"/>
      <c r="C40" s="1"/>
    </row>
    <row r="41" spans="2:8" s="5" customFormat="1" ht="14.1" customHeight="1">
      <c r="B41" s="36" t="s">
        <v>39</v>
      </c>
      <c r="C41" s="36"/>
      <c r="D41" s="55" t="s">
        <v>40</v>
      </c>
      <c r="E41" s="55" t="s">
        <v>41</v>
      </c>
    </row>
    <row r="42" spans="2:8" s="5" customFormat="1" ht="14.1" customHeight="1">
      <c r="B42" s="75" t="s">
        <v>32</v>
      </c>
      <c r="C42" s="84">
        <f>E42/E46</f>
        <v>0.33</v>
      </c>
      <c r="D42" s="78">
        <f>SUMPRODUCT($G$23:$G$27,$J$23:$J$27)</f>
        <v>990</v>
      </c>
      <c r="E42" s="78">
        <f>$D42+($C$30-SUM($D$42:$D$45))*($D42/$D$46)</f>
        <v>2640</v>
      </c>
    </row>
    <row r="43" spans="2:8" s="5" customFormat="1" ht="14.1" customHeight="1">
      <c r="B43" s="75" t="s">
        <v>33</v>
      </c>
      <c r="C43" s="84">
        <f>E43/E46</f>
        <v>0.34000000000000008</v>
      </c>
      <c r="D43" s="78">
        <f>SUMPRODUCT($G$23:$G$27,$K$23:$K$27)</f>
        <v>1020.0000000000001</v>
      </c>
      <c r="E43" s="78">
        <f>$D43+($C$30-SUM($D$42:$D$45))*($D43/$D$46)</f>
        <v>2720.0000000000005</v>
      </c>
    </row>
    <row r="44" spans="2:8" s="5" customFormat="1" ht="14.1" customHeight="1">
      <c r="B44" s="75" t="s">
        <v>34</v>
      </c>
      <c r="C44" s="84">
        <f>E44/E46</f>
        <v>0.33</v>
      </c>
      <c r="D44" s="78">
        <f>SUMPRODUCT($G$23:$G$27,$L$23:$L$27)</f>
        <v>990</v>
      </c>
      <c r="E44" s="78">
        <f>$D44+($C$30-SUM($D$42:$D$45))*($D44/$D$46)</f>
        <v>2640</v>
      </c>
    </row>
    <row r="45" spans="2:8" s="5" customFormat="1" ht="14.1" customHeight="1">
      <c r="B45" s="75" t="s">
        <v>35</v>
      </c>
      <c r="C45" s="84">
        <f>E45/E46</f>
        <v>0</v>
      </c>
      <c r="D45" s="78">
        <f>SUMPRODUCT($G$23:$G$27,$M$23:$M$27)</f>
        <v>0</v>
      </c>
      <c r="E45" s="78">
        <f>$D45+($C$30-SUM($D$42:$D$45))*($D45/$D$46)</f>
        <v>0</v>
      </c>
    </row>
    <row r="46" spans="2:8" s="5" customFormat="1" ht="12.75" customHeight="1">
      <c r="B46" s="77" t="s">
        <v>10</v>
      </c>
      <c r="C46" s="85">
        <f>SUM(C42:C45)</f>
        <v>1.0000000000000002</v>
      </c>
      <c r="D46" s="79">
        <f>SUM(D42:D45)</f>
        <v>3000</v>
      </c>
      <c r="E46" s="79">
        <f>SUM(E42:E45)</f>
        <v>8000</v>
      </c>
    </row>
    <row r="47" spans="2:8" s="5" customFormat="1" ht="12.75" customHeight="1">
      <c r="B47" s="2"/>
      <c r="C47" s="2"/>
      <c r="D47" s="2"/>
      <c r="E47" s="76"/>
    </row>
    <row r="48" spans="2:8" s="5" customFormat="1" ht="12.75" customHeight="1">
      <c r="E48" s="20"/>
      <c r="F48" s="6"/>
    </row>
    <row r="49" spans="4:253" s="5" customFormat="1" ht="12.75" customHeight="1">
      <c r="E49" s="20"/>
    </row>
    <row r="50" spans="4:253" s="5" customFormat="1" ht="12.75" customHeight="1">
      <c r="D50" s="21"/>
      <c r="E50" s="20"/>
    </row>
    <row r="51" spans="4:253" s="5" customFormat="1" ht="12.75" customHeight="1">
      <c r="D51" s="21"/>
      <c r="E51" s="20"/>
    </row>
    <row r="52" spans="4:253" s="5" customFormat="1" ht="12.75" customHeight="1">
      <c r="E52" s="20"/>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row>
    <row r="53" spans="4:253" s="5" customFormat="1" ht="12.75" customHeight="1">
      <c r="D53" s="21"/>
      <c r="E53" s="20"/>
    </row>
    <row r="54" spans="4:253" s="5" customFormat="1" ht="12.75" customHeight="1">
      <c r="E54" s="20"/>
    </row>
    <row r="55" spans="4:253" ht="12.75" customHeight="1">
      <c r="E55" s="20"/>
    </row>
    <row r="56" spans="4:253" ht="12.75" customHeight="1">
      <c r="E56" s="4"/>
    </row>
    <row r="57" spans="4:253">
      <c r="E57" s="3"/>
    </row>
    <row r="69" spans="4:5">
      <c r="D69" s="3"/>
      <c r="E69" s="3"/>
    </row>
  </sheetData>
  <mergeCells count="4">
    <mergeCell ref="E4:F4"/>
    <mergeCell ref="D5:G5"/>
    <mergeCell ref="B13:H14"/>
    <mergeCell ref="B17:H18"/>
  </mergeCells>
  <dataValidations disablePrompts="1" count="2">
    <dataValidation type="list" allowBlank="1" showInputMessage="1" showErrorMessage="1" sqref="E4" xr:uid="{00000000-0002-0000-3300-000001000000}">
      <formula1>enterprise</formula1>
    </dataValidation>
    <dataValidation type="list" allowBlank="1" showInputMessage="1" showErrorMessage="1" sqref="H23:H27" xr:uid="{00000000-0002-0000-3300-000000000000}">
      <formula1>allocation</formula1>
    </dataValidation>
  </dataValidations>
  <pageMargins left="0.7" right="0.7" top="0.75" bottom="0.75" header="0.3" footer="0.3"/>
  <pageSetup scale="94" fitToHeight="0"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2">
    <pageSetUpPr fitToPage="1"/>
  </sheetPr>
  <dimension ref="B2:IS66"/>
  <sheetViews>
    <sheetView topLeftCell="A3" workbookViewId="0">
      <selection activeCell="G28" sqref="G28"/>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E34</f>
        <v>39000</v>
      </c>
      <c r="K2" s="120">
        <f t="shared" ref="K2:M2" si="0">F34</f>
        <v>30900</v>
      </c>
      <c r="L2" s="120">
        <f t="shared" si="0"/>
        <v>36900</v>
      </c>
      <c r="M2" s="120">
        <f t="shared" si="0"/>
        <v>41000</v>
      </c>
    </row>
    <row r="3" spans="2:13" ht="14.1" customHeight="1">
      <c r="B3" s="40"/>
      <c r="C3" s="40"/>
      <c r="D3" s="40"/>
      <c r="E3" s="40"/>
      <c r="F3" s="40"/>
      <c r="G3" s="40"/>
      <c r="H3" s="40"/>
      <c r="J3" s="121">
        <f>C39</f>
        <v>0.41</v>
      </c>
      <c r="K3" s="121"/>
      <c r="L3" s="121"/>
      <c r="M3" s="121"/>
    </row>
    <row r="4" spans="2:13" ht="23.25" customHeight="1">
      <c r="B4" s="40"/>
      <c r="C4" s="40"/>
      <c r="D4" s="40"/>
      <c r="E4" s="316" t="s">
        <v>118</v>
      </c>
      <c r="F4" s="316"/>
      <c r="G4" s="41"/>
      <c r="H4" s="40"/>
      <c r="J4" s="121">
        <f t="shared" ref="J4:J6" si="1">C40</f>
        <v>0.44</v>
      </c>
    </row>
    <row r="5" spans="2:13" ht="14.1" customHeight="1">
      <c r="B5" s="42"/>
      <c r="C5" s="42"/>
      <c r="D5" s="312" t="str">
        <f>'Operating Budget'!B78</f>
        <v>Insurance</v>
      </c>
      <c r="E5" s="312"/>
      <c r="F5" s="312"/>
      <c r="G5" s="312"/>
      <c r="H5" s="43"/>
      <c r="J5" s="121">
        <f t="shared" si="1"/>
        <v>0.15</v>
      </c>
    </row>
    <row r="6" spans="2:13" ht="19.5" customHeight="1">
      <c r="B6" s="40"/>
      <c r="C6" s="40"/>
      <c r="D6" s="40"/>
      <c r="E6" s="40"/>
      <c r="H6" s="40"/>
      <c r="J6" s="121">
        <f t="shared" si="1"/>
        <v>0</v>
      </c>
    </row>
    <row r="7" spans="2:13" ht="14.1" hidden="1" customHeight="1">
      <c r="B7" s="40"/>
      <c r="C7" s="40"/>
      <c r="D7" s="40"/>
      <c r="E7" s="40"/>
      <c r="F7" s="44"/>
      <c r="G7" s="44"/>
      <c r="H7" s="40"/>
    </row>
    <row r="8" spans="2:13" ht="14.1" customHeight="1">
      <c r="B8" s="41" t="s">
        <v>2</v>
      </c>
      <c r="C8" s="40">
        <f>'Operating Budget'!C78</f>
        <v>5400</v>
      </c>
      <c r="D8" s="40"/>
      <c r="E8" s="40"/>
      <c r="F8" s="40"/>
      <c r="G8" s="40"/>
      <c r="H8" s="40"/>
    </row>
    <row r="9" spans="2:13" ht="14.1" customHeight="1">
      <c r="B9" s="41" t="s">
        <v>3</v>
      </c>
      <c r="C9" s="40">
        <f>INDEX('Operating Budget'!$A$11:$A$107,MATCH('46'!C8,'Operating Budget'!C11:C107))</f>
        <v>46</v>
      </c>
      <c r="D9" s="40"/>
      <c r="E9" s="40"/>
      <c r="F9" s="202"/>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257</v>
      </c>
      <c r="C13" s="319"/>
      <c r="D13" s="319"/>
      <c r="E13" s="319"/>
      <c r="F13" s="319"/>
      <c r="G13" s="319"/>
      <c r="H13" s="319"/>
    </row>
    <row r="14" spans="2:13" ht="14.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t="s">
        <v>258</v>
      </c>
      <c r="C17" s="319"/>
      <c r="D17" s="319"/>
      <c r="E17" s="319"/>
      <c r="F17" s="319"/>
      <c r="G17" s="319"/>
      <c r="H17" s="319"/>
    </row>
    <row r="18" spans="2:13" ht="14.1" hidden="1" customHeight="1">
      <c r="B18" s="319"/>
      <c r="C18" s="319"/>
      <c r="D18" s="319"/>
      <c r="E18" s="319"/>
      <c r="F18" s="319"/>
      <c r="G18" s="319"/>
      <c r="H18" s="319"/>
    </row>
    <row r="19" spans="2:13" ht="14.1" customHeight="1">
      <c r="B19" s="310"/>
      <c r="C19" s="310"/>
      <c r="D19" s="310"/>
      <c r="E19" s="310"/>
      <c r="F19" s="310"/>
      <c r="G19" s="310"/>
      <c r="H19" s="310"/>
    </row>
    <row r="20" spans="2:13" s="5" customFormat="1" ht="14.1" customHeight="1">
      <c r="B20" s="36" t="s">
        <v>7</v>
      </c>
      <c r="C20" s="37"/>
      <c r="D20" s="37"/>
      <c r="E20" s="37"/>
      <c r="F20" s="37"/>
      <c r="G20" s="37"/>
      <c r="H20" s="38"/>
    </row>
    <row r="21" spans="2:13" s="5" customFormat="1" ht="14.1" customHeight="1">
      <c r="B21" s="40"/>
      <c r="C21" s="41"/>
      <c r="D21" s="40"/>
      <c r="E21" s="40"/>
      <c r="F21" s="40"/>
      <c r="G21" s="40"/>
      <c r="H21" s="40"/>
    </row>
    <row r="22" spans="2:13" s="5" customFormat="1" ht="14.1" customHeight="1">
      <c r="B22" s="67" t="str">
        <f>$D$5</f>
        <v>Insurance</v>
      </c>
      <c r="C22" s="67"/>
      <c r="D22" s="68"/>
      <c r="E22" s="68"/>
      <c r="F22" s="68" t="s">
        <v>10</v>
      </c>
      <c r="G22" s="69" t="s">
        <v>31</v>
      </c>
      <c r="H22" s="40"/>
      <c r="J22" s="73" t="s">
        <v>32</v>
      </c>
      <c r="K22" s="73" t="s">
        <v>33</v>
      </c>
      <c r="L22" s="73" t="s">
        <v>34</v>
      </c>
      <c r="M22" s="73" t="s">
        <v>35</v>
      </c>
    </row>
    <row r="23" spans="2:13" s="5" customFormat="1" ht="14.1" customHeight="1">
      <c r="B23" s="5" t="s">
        <v>259</v>
      </c>
      <c r="C23" s="57"/>
      <c r="D23" s="80"/>
      <c r="E23" s="66"/>
      <c r="F23" s="66">
        <v>33000</v>
      </c>
      <c r="G23" s="71" t="s">
        <v>221</v>
      </c>
      <c r="H23" s="40"/>
      <c r="J23" s="74">
        <f>INDEX(MASTER!$C$25:$F$42,MATCH($G23,allocation,0),MATCH(J$22,MASTER!$C$24:$F$24,0))</f>
        <v>0.41</v>
      </c>
      <c r="K23" s="74">
        <f>INDEX(MASTER!$C$25:$F$42,MATCH($G23,allocation,0),MATCH(K$22,MASTER!$C$24:$F$24,0))</f>
        <v>0.44</v>
      </c>
      <c r="L23" s="74">
        <f>INDEX(MASTER!$C$25:$F$42,MATCH($G23,allocation,0),MATCH(L$22,MASTER!$C$24:$F$24,0))</f>
        <v>0.15</v>
      </c>
      <c r="M23" s="74">
        <f>INDEX(MASTER!$C$25:$F$42,MATCH($G23,allocation,0),MATCH(M$22,MASTER!$C$24:$F$24,0))</f>
        <v>0</v>
      </c>
    </row>
    <row r="24" spans="2:13" s="5" customFormat="1" ht="14.1" customHeight="1">
      <c r="B24" s="5" t="s">
        <v>260</v>
      </c>
      <c r="C24" s="57"/>
      <c r="D24" s="80"/>
      <c r="E24" s="66"/>
      <c r="F24" s="66">
        <v>6000</v>
      </c>
      <c r="G24" s="81" t="s">
        <v>221</v>
      </c>
      <c r="H24" s="40"/>
      <c r="J24" s="74">
        <f>INDEX(MASTER!$C$25:$F$42,MATCH($G24,allocation,0),MATCH(J$22,MASTER!$C$24:$F$24,0))</f>
        <v>0.41</v>
      </c>
      <c r="K24" s="74">
        <f>INDEX(MASTER!$C$25:$F$42,MATCH($G24,allocation,0),MATCH(K$22,MASTER!$C$24:$F$24,0))</f>
        <v>0.44</v>
      </c>
      <c r="L24" s="74">
        <f>INDEX(MASTER!$C$25:$F$42,MATCH($G24,allocation,0),MATCH(L$22,MASTER!$C$24:$F$24,0))</f>
        <v>0.15</v>
      </c>
      <c r="M24" s="74">
        <f>INDEX(MASTER!$C$25:$F$42,MATCH($G24,allocation,0),MATCH(M$22,MASTER!$C$24:$F$24,0))</f>
        <v>0</v>
      </c>
    </row>
    <row r="25" spans="2:13" s="5" customFormat="1" ht="14.1" customHeight="1">
      <c r="B25" s="5" t="s">
        <v>261</v>
      </c>
      <c r="C25" s="57"/>
      <c r="D25" s="80"/>
      <c r="E25" s="66"/>
      <c r="F25" s="66">
        <v>1500</v>
      </c>
      <c r="G25" s="81" t="s">
        <v>221</v>
      </c>
      <c r="H25" s="40"/>
      <c r="J25" s="74">
        <f>INDEX(MASTER!$C$25:$F$42,MATCH($G25,allocation,0),MATCH(J$22,MASTER!$C$24:$F$24,0))</f>
        <v>0.41</v>
      </c>
      <c r="K25" s="74">
        <f>INDEX(MASTER!$C$25:$F$42,MATCH($G25,allocation,0),MATCH(K$22,MASTER!$C$24:$F$24,0))</f>
        <v>0.44</v>
      </c>
      <c r="L25" s="74">
        <f>INDEX(MASTER!$C$25:$F$42,MATCH($G25,allocation,0),MATCH(L$22,MASTER!$C$24:$F$24,0))</f>
        <v>0.15</v>
      </c>
      <c r="M25" s="74">
        <f>INDEX(MASTER!$C$25:$F$42,MATCH($G25,allocation,0),MATCH(M$22,MASTER!$C$24:$F$24,0))</f>
        <v>0</v>
      </c>
    </row>
    <row r="26" spans="2:13" s="5" customFormat="1" ht="14.1" customHeight="1" thickBot="1">
      <c r="B26" s="49" t="s">
        <v>10</v>
      </c>
      <c r="C26" s="49"/>
      <c r="D26" s="49"/>
      <c r="E26" s="49"/>
      <c r="F26" s="50">
        <f>SUM(F23:F25)</f>
        <v>40500</v>
      </c>
      <c r="G26" s="49"/>
      <c r="H26" s="40"/>
    </row>
    <row r="27" spans="2:13" s="5" customFormat="1" ht="14.1" customHeight="1" thickTop="1">
      <c r="B27" s="40"/>
      <c r="C27" s="41"/>
      <c r="G27" s="40"/>
      <c r="H27" s="40"/>
    </row>
    <row r="28" spans="2:13" s="5" customFormat="1" ht="14.1" customHeight="1">
      <c r="B28" s="41" t="s">
        <v>11</v>
      </c>
      <c r="C28" s="35">
        <f>ROUNDUP($F$26,-$B$29)</f>
        <v>41000</v>
      </c>
      <c r="F28" s="40"/>
      <c r="G28" s="40"/>
      <c r="H28" s="40"/>
    </row>
    <row r="29" spans="2:13" s="5" customFormat="1" ht="14.1" customHeight="1">
      <c r="B29" s="51">
        <v>3</v>
      </c>
      <c r="C29" s="41"/>
      <c r="D29" s="40"/>
      <c r="E29" s="40"/>
      <c r="F29" s="40"/>
      <c r="G29" s="40"/>
      <c r="H29" s="40"/>
    </row>
    <row r="30" spans="2:13" s="5" customFormat="1" ht="14.1" customHeight="1">
      <c r="B30" s="40"/>
      <c r="C30" s="41"/>
      <c r="D30" s="40"/>
      <c r="E30" s="40"/>
      <c r="F30" s="40"/>
      <c r="G30" s="40"/>
      <c r="H30" s="40"/>
    </row>
    <row r="31" spans="2:13" s="5" customFormat="1" ht="14.1" customHeight="1">
      <c r="B31" s="40"/>
      <c r="C31" s="41"/>
      <c r="D31" s="40"/>
      <c r="E31" s="53" t="s">
        <v>12</v>
      </c>
      <c r="F31" s="54" t="s">
        <v>13</v>
      </c>
      <c r="G31" s="54" t="s">
        <v>14</v>
      </c>
      <c r="H31" s="55" t="s">
        <v>15</v>
      </c>
    </row>
    <row r="32" spans="2:13" s="5" customFormat="1" ht="14.1" customHeight="1">
      <c r="B32" s="36"/>
      <c r="C32" s="36"/>
      <c r="D32" s="36"/>
      <c r="E32" s="53" t="str">
        <f>"FY "&amp;MASTER!$B$4-1&amp;" - "&amp;MASTER!$B$4</f>
        <v>FY 2020 - 2021</v>
      </c>
      <c r="F32" s="56">
        <f>MASTER!$B$6</f>
        <v>44255</v>
      </c>
      <c r="G32" s="54" t="str">
        <f>"June "&amp;MASTER!$B$4</f>
        <v>June 2021</v>
      </c>
      <c r="H32" s="55" t="str">
        <f>"FY "&amp;MASTER!$B$4&amp;" - "&amp;MASTER!$B$5</f>
        <v>FY 2021 - 2022</v>
      </c>
    </row>
    <row r="33" spans="2:8" s="5" customFormat="1" ht="14.1" customHeight="1">
      <c r="B33" s="57"/>
      <c r="C33" s="57"/>
      <c r="D33" s="58"/>
      <c r="E33" s="59"/>
      <c r="F33" s="60"/>
      <c r="G33" s="60"/>
      <c r="H33" s="58"/>
    </row>
    <row r="34" spans="2:8" s="5" customFormat="1" ht="14.1" customHeight="1">
      <c r="B34" s="40" t="str">
        <f>$D$5</f>
        <v>Insurance</v>
      </c>
      <c r="C34" s="41"/>
      <c r="D34" s="58"/>
      <c r="E34" s="61">
        <v>39000</v>
      </c>
      <c r="F34" s="62">
        <v>30900</v>
      </c>
      <c r="G34" s="62">
        <v>36900</v>
      </c>
      <c r="H34" s="63">
        <f>$C$28</f>
        <v>41000</v>
      </c>
    </row>
    <row r="35" spans="2:8" s="5" customFormat="1" ht="14.1" customHeight="1">
      <c r="B35" s="40"/>
      <c r="C35" s="41"/>
      <c r="D35" s="58"/>
      <c r="E35" s="59"/>
      <c r="F35" s="59"/>
      <c r="G35" s="58"/>
      <c r="H35" s="82"/>
    </row>
    <row r="36" spans="2:8" s="5" customFormat="1" ht="14.1" customHeight="1">
      <c r="B36" s="40"/>
      <c r="C36" s="41"/>
      <c r="D36" s="58"/>
      <c r="E36" s="58"/>
      <c r="F36" s="58"/>
      <c r="G36" s="58"/>
      <c r="H36" s="63"/>
    </row>
    <row r="37" spans="2:8" s="5" customFormat="1" ht="14.1" customHeight="1">
      <c r="B37" s="2"/>
      <c r="C37" s="1"/>
    </row>
    <row r="38" spans="2:8" s="5" customFormat="1" ht="14.1" customHeight="1">
      <c r="B38" s="36" t="s">
        <v>39</v>
      </c>
      <c r="C38" s="36"/>
      <c r="D38" s="55" t="s">
        <v>40</v>
      </c>
      <c r="E38" s="55" t="s">
        <v>41</v>
      </c>
    </row>
    <row r="39" spans="2:8" s="5" customFormat="1" ht="14.1" customHeight="1">
      <c r="B39" s="75" t="s">
        <v>32</v>
      </c>
      <c r="C39" s="84">
        <f>E39/E43</f>
        <v>0.41</v>
      </c>
      <c r="D39" s="78">
        <f>SUMPRODUCT($F$23:$F$25,$J$23:$J$25)</f>
        <v>16605</v>
      </c>
      <c r="E39" s="78">
        <f>$D39+($C$28-SUM($D$39:$D$42))*($D39/$D$43)</f>
        <v>16810</v>
      </c>
    </row>
    <row r="40" spans="2:8" s="5" customFormat="1" ht="14.1" customHeight="1">
      <c r="B40" s="75" t="s">
        <v>33</v>
      </c>
      <c r="C40" s="84">
        <f>E40/E43</f>
        <v>0.44</v>
      </c>
      <c r="D40" s="78">
        <f>SUMPRODUCT($F$23:$F$25,$K$23:$K$25)</f>
        <v>17820</v>
      </c>
      <c r="E40" s="78">
        <f>$D40+($C$28-SUM($D$39:$D$42))*($D40/$D$43)</f>
        <v>18040</v>
      </c>
    </row>
    <row r="41" spans="2:8" s="5" customFormat="1" ht="14.1" customHeight="1">
      <c r="B41" s="75" t="s">
        <v>34</v>
      </c>
      <c r="C41" s="84">
        <f>E41/E43</f>
        <v>0.15</v>
      </c>
      <c r="D41" s="78">
        <f>SUMPRODUCT($F$23:$F$25,$L$23:$L$25)</f>
        <v>6075</v>
      </c>
      <c r="E41" s="78">
        <f>$D41+($C$28-SUM($D$39:$D$42))*($D41/$D$43)</f>
        <v>6150</v>
      </c>
    </row>
    <row r="42" spans="2:8" s="5" customFormat="1" ht="14.1" customHeight="1">
      <c r="B42" s="75" t="s">
        <v>35</v>
      </c>
      <c r="C42" s="84">
        <f>E42/E43</f>
        <v>0</v>
      </c>
      <c r="D42" s="78">
        <f>SUMPRODUCT($F$23:$F$25,$M$23:$M$25)</f>
        <v>0</v>
      </c>
      <c r="E42" s="78">
        <f>$D42+($C$28-SUM($D$39:$D$42))*($D42/$D$43)</f>
        <v>0</v>
      </c>
    </row>
    <row r="43" spans="2:8" s="5" customFormat="1" ht="12.75" customHeight="1">
      <c r="B43" s="77" t="s">
        <v>10</v>
      </c>
      <c r="C43" s="85">
        <f>SUM(C39:C42)</f>
        <v>1</v>
      </c>
      <c r="D43" s="79">
        <f>SUM(D39:D42)</f>
        <v>40500</v>
      </c>
      <c r="E43" s="79">
        <f>SUM(E39:E42)</f>
        <v>41000</v>
      </c>
    </row>
    <row r="44" spans="2:8" s="5" customFormat="1" ht="12.75" customHeight="1">
      <c r="B44" s="2"/>
      <c r="C44" s="2"/>
      <c r="D44" s="2"/>
      <c r="E44" s="76"/>
    </row>
    <row r="45" spans="2:8" s="5" customFormat="1" ht="12.75" customHeight="1">
      <c r="E45" s="20"/>
      <c r="F45" s="6"/>
    </row>
    <row r="46" spans="2:8" s="5" customFormat="1" ht="12.75" customHeight="1">
      <c r="E46" s="20"/>
    </row>
    <row r="47" spans="2:8" s="5" customFormat="1" ht="12.75" customHeight="1">
      <c r="D47" s="21"/>
      <c r="E47" s="20"/>
    </row>
    <row r="48" spans="2:8" s="5" customFormat="1" ht="12.75" customHeight="1">
      <c r="D48" s="21"/>
      <c r="E48" s="20"/>
    </row>
    <row r="49" spans="4:253" s="5" customFormat="1" ht="12.75" customHeight="1">
      <c r="E49" s="20"/>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row>
    <row r="50" spans="4:253" s="5" customFormat="1" ht="12.75" customHeight="1">
      <c r="D50" s="21"/>
      <c r="E50" s="20"/>
    </row>
    <row r="51" spans="4:253" s="5" customFormat="1" ht="12.75" customHeight="1">
      <c r="E51" s="20"/>
    </row>
    <row r="52" spans="4:253" ht="12.75" customHeight="1">
      <c r="E52" s="20"/>
    </row>
    <row r="53" spans="4:253" ht="12.75" customHeight="1">
      <c r="E53" s="4"/>
    </row>
    <row r="54" spans="4:253">
      <c r="E54" s="3"/>
    </row>
    <row r="66" spans="4:5">
      <c r="D66" s="3"/>
      <c r="E66" s="3"/>
    </row>
  </sheetData>
  <mergeCells count="4">
    <mergeCell ref="E4:F4"/>
    <mergeCell ref="D5:G5"/>
    <mergeCell ref="B13:H14"/>
    <mergeCell ref="B17:H18"/>
  </mergeCells>
  <dataValidations count="2">
    <dataValidation type="list" allowBlank="1" showInputMessage="1" showErrorMessage="1" sqref="G23:G25" xr:uid="{00000000-0002-0000-3400-000000000000}">
      <formula1>allocation</formula1>
    </dataValidation>
    <dataValidation type="list" allowBlank="1" showInputMessage="1" showErrorMessage="1" sqref="E4" xr:uid="{00000000-0002-0000-3400-000001000000}">
      <formula1>enterprise</formula1>
    </dataValidation>
  </dataValidations>
  <pageMargins left="0.7" right="0.7" top="0.75" bottom="0.75" header="0.3" footer="0.3"/>
  <pageSetup scale="94" fitToHeight="0"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3">
    <pageSetUpPr fitToPage="1"/>
  </sheetPr>
  <dimension ref="B2:IS65"/>
  <sheetViews>
    <sheetView workbookViewId="0">
      <selection activeCell="G27" sqref="G27"/>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E33</f>
        <v>60000</v>
      </c>
      <c r="K2" s="120">
        <f t="shared" ref="K2:M2" si="0">F33</f>
        <v>20836</v>
      </c>
      <c r="L2" s="120">
        <f t="shared" si="0"/>
        <v>40000</v>
      </c>
      <c r="M2" s="120">
        <f t="shared" si="0"/>
        <v>60000</v>
      </c>
    </row>
    <row r="3" spans="2:13" ht="14.1" customHeight="1">
      <c r="B3" s="40"/>
      <c r="C3" s="40"/>
      <c r="D3" s="40"/>
      <c r="E3" s="40"/>
      <c r="F3" s="40"/>
      <c r="G3" s="40"/>
      <c r="H3" s="40"/>
      <c r="J3" s="121">
        <f>C38</f>
        <v>0.60666666666666669</v>
      </c>
      <c r="K3" s="121"/>
      <c r="L3" s="121"/>
      <c r="M3" s="121"/>
    </row>
    <row r="4" spans="2:13" ht="23.25" customHeight="1">
      <c r="B4" s="40"/>
      <c r="C4" s="40"/>
      <c r="D4" s="40"/>
      <c r="E4" s="316" t="s">
        <v>118</v>
      </c>
      <c r="F4" s="316"/>
      <c r="G4" s="41"/>
      <c r="H4" s="40"/>
      <c r="J4" s="121">
        <f t="shared" ref="J4:J6" si="1">C39</f>
        <v>0.29333333333333333</v>
      </c>
    </row>
    <row r="5" spans="2:13" ht="14.1" customHeight="1">
      <c r="B5" s="42"/>
      <c r="C5" s="42"/>
      <c r="D5" s="312" t="str">
        <f>'Operating Budget'!B79</f>
        <v>Legal Services</v>
      </c>
      <c r="E5" s="312"/>
      <c r="F5" s="312"/>
      <c r="G5" s="312"/>
      <c r="H5" s="43"/>
      <c r="J5" s="121">
        <f t="shared" si="1"/>
        <v>0.1</v>
      </c>
    </row>
    <row r="6" spans="2:13" ht="19.5" customHeight="1">
      <c r="B6" s="40"/>
      <c r="C6" s="40"/>
      <c r="D6" s="40"/>
      <c r="E6" s="40"/>
      <c r="H6" s="40"/>
      <c r="J6" s="121">
        <f t="shared" si="1"/>
        <v>0</v>
      </c>
    </row>
    <row r="7" spans="2:13" ht="14.1" hidden="1" customHeight="1">
      <c r="B7" s="40"/>
      <c r="C7" s="40"/>
      <c r="D7" s="40"/>
      <c r="E7" s="40"/>
      <c r="F7" s="44"/>
      <c r="G7" s="44"/>
      <c r="H7" s="40"/>
    </row>
    <row r="8" spans="2:13" ht="14.1" customHeight="1">
      <c r="B8" s="41" t="s">
        <v>2</v>
      </c>
      <c r="C8" s="40">
        <f>'Operating Budget'!C79</f>
        <v>5510</v>
      </c>
      <c r="D8" s="40"/>
      <c r="E8" s="40"/>
      <c r="F8" s="40"/>
      <c r="G8" s="40"/>
      <c r="H8" s="40"/>
    </row>
    <row r="9" spans="2:13" ht="14.1" customHeight="1">
      <c r="B9" s="41" t="s">
        <v>3</v>
      </c>
      <c r="C9" s="40">
        <f>INDEX('Operating Budget'!$A$11:$A$107,MATCH('47'!C8,'Operating Budget'!C11:C107))</f>
        <v>47</v>
      </c>
      <c r="D9" s="40"/>
      <c r="E9" s="40"/>
      <c r="F9" s="40"/>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262</v>
      </c>
      <c r="C13" s="319"/>
      <c r="D13" s="319"/>
      <c r="E13" s="319"/>
      <c r="F13" s="319"/>
      <c r="G13" s="319"/>
      <c r="H13" s="319"/>
    </row>
    <row r="14" spans="2:13" ht="14.1" hidden="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t="s">
        <v>263</v>
      </c>
      <c r="C17" s="319"/>
      <c r="D17" s="319"/>
      <c r="E17" s="319"/>
      <c r="F17" s="319"/>
      <c r="G17" s="319"/>
      <c r="H17" s="319"/>
    </row>
    <row r="18" spans="2:13" ht="14.1" hidden="1" customHeight="1">
      <c r="B18" s="319"/>
      <c r="C18" s="319"/>
      <c r="D18" s="319"/>
      <c r="E18" s="319"/>
      <c r="F18" s="319"/>
      <c r="G18" s="319"/>
      <c r="H18" s="319"/>
    </row>
    <row r="19" spans="2:13" ht="14.1" customHeight="1">
      <c r="B19" s="310"/>
      <c r="C19" s="310"/>
      <c r="D19" s="310"/>
      <c r="E19" s="310"/>
      <c r="F19" s="310"/>
      <c r="G19" s="310"/>
      <c r="H19" s="310"/>
    </row>
    <row r="20" spans="2:13" s="5" customFormat="1" ht="14.1" customHeight="1">
      <c r="B20" s="36" t="s">
        <v>7</v>
      </c>
      <c r="C20" s="37"/>
      <c r="D20" s="37"/>
      <c r="E20" s="37"/>
      <c r="F20" s="37"/>
      <c r="G20" s="37"/>
      <c r="H20" s="38"/>
    </row>
    <row r="21" spans="2:13" s="5" customFormat="1" ht="14.1" customHeight="1">
      <c r="B21" s="40"/>
      <c r="C21" s="41"/>
      <c r="D21" s="40"/>
      <c r="E21" s="40"/>
      <c r="F21" s="40"/>
      <c r="G21" s="40"/>
      <c r="H21" s="40"/>
    </row>
    <row r="22" spans="2:13" s="5" customFormat="1" ht="14.1" customHeight="1">
      <c r="B22" s="67" t="str">
        <f>$D$5</f>
        <v>Legal Services</v>
      </c>
      <c r="C22" s="67"/>
      <c r="D22" s="68"/>
      <c r="E22" s="68"/>
      <c r="F22" s="68" t="s">
        <v>10</v>
      </c>
      <c r="G22" s="69" t="s">
        <v>31</v>
      </c>
      <c r="H22" s="40"/>
      <c r="J22" s="73" t="s">
        <v>32</v>
      </c>
      <c r="K22" s="73" t="s">
        <v>33</v>
      </c>
      <c r="L22" s="73" t="s">
        <v>34</v>
      </c>
      <c r="M22" s="73" t="s">
        <v>35</v>
      </c>
    </row>
    <row r="23" spans="2:13" s="5" customFormat="1" ht="14.1" customHeight="1">
      <c r="B23" s="5" t="s">
        <v>264</v>
      </c>
      <c r="C23" s="57"/>
      <c r="D23" s="80"/>
      <c r="E23" s="66"/>
      <c r="F23" s="66">
        <v>40000</v>
      </c>
      <c r="G23" s="71" t="s">
        <v>221</v>
      </c>
      <c r="H23" s="40"/>
      <c r="J23" s="74">
        <f>INDEX(MASTER!$C$25:$F$42,MATCH($G23,allocation,0),MATCH(J$22,MASTER!$C$24:$F$24,0))</f>
        <v>0.41</v>
      </c>
      <c r="K23" s="74">
        <f>INDEX(MASTER!$C$25:$F$42,MATCH($G23,allocation,0),MATCH(K$22,MASTER!$C$24:$F$24,0))</f>
        <v>0.44</v>
      </c>
      <c r="L23" s="74">
        <f>INDEX(MASTER!$C$25:$F$42,MATCH($G23,allocation,0),MATCH(L$22,MASTER!$C$24:$F$24,0))</f>
        <v>0.15</v>
      </c>
      <c r="M23" s="74">
        <f>INDEX(MASTER!$C$25:$F$42,MATCH($G23,allocation,0),MATCH(M$22,MASTER!$C$24:$F$24,0))</f>
        <v>0</v>
      </c>
    </row>
    <row r="24" spans="2:13" s="5" customFormat="1" ht="14.1" customHeight="1">
      <c r="B24" s="5" t="s">
        <v>265</v>
      </c>
      <c r="C24" s="57"/>
      <c r="D24" s="80"/>
      <c r="E24" s="66"/>
      <c r="F24" s="66">
        <v>20000</v>
      </c>
      <c r="G24" s="81" t="s">
        <v>37</v>
      </c>
      <c r="H24" s="40"/>
      <c r="J24" s="74">
        <f>INDEX(MASTER!$C$25:$F$42,MATCH($G24,allocation,0),MATCH(J$22,MASTER!$C$24:$F$24,0))</f>
        <v>1</v>
      </c>
      <c r="K24" s="74">
        <f>INDEX(MASTER!$C$25:$F$42,MATCH($G24,allocation,0),MATCH(K$22,MASTER!$C$24:$F$24,0))</f>
        <v>0</v>
      </c>
      <c r="L24" s="74">
        <f>INDEX(MASTER!$C$25:$F$42,MATCH($G24,allocation,0),MATCH(L$22,MASTER!$C$24:$F$24,0))</f>
        <v>0</v>
      </c>
      <c r="M24" s="74">
        <f>INDEX(MASTER!$C$25:$F$42,MATCH($G24,allocation,0),MATCH(M$22,MASTER!$C$24:$F$24,0))</f>
        <v>0</v>
      </c>
    </row>
    <row r="25" spans="2:13" s="5" customFormat="1" ht="14.1" customHeight="1" thickBot="1">
      <c r="B25" s="49" t="s">
        <v>10</v>
      </c>
      <c r="C25" s="49"/>
      <c r="D25" s="49"/>
      <c r="E25" s="49"/>
      <c r="F25" s="50">
        <f>SUM(F23:F24)</f>
        <v>60000</v>
      </c>
      <c r="G25" s="49"/>
      <c r="H25" s="40"/>
    </row>
    <row r="26" spans="2:13" s="5" customFormat="1" ht="14.1" customHeight="1" thickTop="1">
      <c r="B26" s="40"/>
      <c r="C26" s="41"/>
      <c r="G26" s="40"/>
      <c r="H26" s="40"/>
    </row>
    <row r="27" spans="2:13" s="5" customFormat="1" ht="14.1" customHeight="1">
      <c r="B27" s="41" t="s">
        <v>11</v>
      </c>
      <c r="C27" s="35">
        <f>ROUNDUP($F$25,-$B$28)</f>
        <v>60000</v>
      </c>
      <c r="F27" s="40"/>
      <c r="G27" s="40"/>
      <c r="H27" s="40"/>
    </row>
    <row r="28" spans="2:13" s="5" customFormat="1" ht="14.1" customHeight="1">
      <c r="B28" s="51">
        <v>3</v>
      </c>
      <c r="C28" s="41"/>
      <c r="D28" s="40"/>
      <c r="E28" s="40"/>
      <c r="F28" s="40"/>
      <c r="G28" s="40"/>
      <c r="H28" s="40"/>
    </row>
    <row r="29" spans="2:13" s="5" customFormat="1" ht="14.1" customHeight="1">
      <c r="B29" s="40"/>
      <c r="C29" s="41"/>
      <c r="D29" s="40"/>
      <c r="E29" s="40"/>
      <c r="F29" s="40"/>
      <c r="G29" s="40"/>
      <c r="H29" s="40"/>
    </row>
    <row r="30" spans="2:13" s="5" customFormat="1" ht="14.1" customHeight="1">
      <c r="B30" s="40"/>
      <c r="C30" s="41"/>
      <c r="D30" s="40"/>
      <c r="E30" s="53" t="s">
        <v>12</v>
      </c>
      <c r="F30" s="54" t="s">
        <v>13</v>
      </c>
      <c r="G30" s="54" t="s">
        <v>14</v>
      </c>
      <c r="H30" s="55" t="s">
        <v>15</v>
      </c>
    </row>
    <row r="31" spans="2:13" s="5" customFormat="1" ht="14.1" customHeight="1">
      <c r="B31" s="36"/>
      <c r="C31" s="36"/>
      <c r="D31" s="36"/>
      <c r="E31" s="53" t="str">
        <f>"FY "&amp;MASTER!$B$4-1&amp;" - "&amp;MASTER!$B$4</f>
        <v>FY 2020 - 2021</v>
      </c>
      <c r="F31" s="56">
        <f>MASTER!$B$6</f>
        <v>44255</v>
      </c>
      <c r="G31" s="54" t="str">
        <f>"June "&amp;MASTER!$B$4</f>
        <v>June 2021</v>
      </c>
      <c r="H31" s="55" t="str">
        <f>"FY "&amp;MASTER!$B$4&amp;" - "&amp;MASTER!$B$5</f>
        <v>FY 2021 - 2022</v>
      </c>
    </row>
    <row r="32" spans="2:13" s="5" customFormat="1" ht="14.1" customHeight="1">
      <c r="B32" s="57"/>
      <c r="C32" s="57"/>
      <c r="D32" s="58"/>
      <c r="E32" s="59"/>
      <c r="F32" s="60"/>
      <c r="G32" s="60"/>
      <c r="H32" s="58"/>
    </row>
    <row r="33" spans="2:253" s="5" customFormat="1" ht="14.1" customHeight="1">
      <c r="B33" s="40" t="str">
        <f>$D$5</f>
        <v>Legal Services</v>
      </c>
      <c r="C33" s="41"/>
      <c r="D33" s="58"/>
      <c r="E33" s="61">
        <v>60000</v>
      </c>
      <c r="F33" s="62">
        <v>20836</v>
      </c>
      <c r="G33" s="62">
        <v>40000</v>
      </c>
      <c r="H33" s="63">
        <f>$C$27</f>
        <v>60000</v>
      </c>
    </row>
    <row r="34" spans="2:253" s="5" customFormat="1" ht="14.1" customHeight="1">
      <c r="B34" s="40"/>
      <c r="C34" s="41"/>
      <c r="D34" s="58"/>
      <c r="E34" s="59"/>
      <c r="F34" s="59"/>
      <c r="G34" s="58"/>
      <c r="H34" s="82"/>
    </row>
    <row r="35" spans="2:253" s="5" customFormat="1" ht="14.1" customHeight="1">
      <c r="B35" s="40"/>
      <c r="C35" s="41"/>
      <c r="D35" s="58"/>
      <c r="E35" s="58"/>
      <c r="F35" s="58"/>
      <c r="G35" s="58"/>
      <c r="H35" s="63"/>
    </row>
    <row r="36" spans="2:253" s="5" customFormat="1" ht="14.1" customHeight="1">
      <c r="B36" s="2"/>
      <c r="C36" s="1"/>
    </row>
    <row r="37" spans="2:253" s="5" customFormat="1" ht="14.1" customHeight="1">
      <c r="B37" s="36" t="s">
        <v>39</v>
      </c>
      <c r="C37" s="36"/>
      <c r="D37" s="55" t="s">
        <v>40</v>
      </c>
      <c r="E37" s="55" t="s">
        <v>41</v>
      </c>
    </row>
    <row r="38" spans="2:253" s="5" customFormat="1" ht="14.1" customHeight="1">
      <c r="B38" s="75" t="s">
        <v>32</v>
      </c>
      <c r="C38" s="84">
        <f>E38/E42</f>
        <v>0.60666666666666669</v>
      </c>
      <c r="D38" s="78">
        <f>SUMPRODUCT($F$23:$F$24,$J$23:$J$24)</f>
        <v>36400</v>
      </c>
      <c r="E38" s="78">
        <f>$D38+($C$27-SUM($D$38:$D$41))*($D38/$D$42)</f>
        <v>36400</v>
      </c>
    </row>
    <row r="39" spans="2:253" s="5" customFormat="1" ht="14.1" customHeight="1">
      <c r="B39" s="75" t="s">
        <v>33</v>
      </c>
      <c r="C39" s="84">
        <f>E39/E42</f>
        <v>0.29333333333333333</v>
      </c>
      <c r="D39" s="78">
        <f>SUMPRODUCT($F$23:$F$24,$K$23:$K$24)</f>
        <v>17600</v>
      </c>
      <c r="E39" s="78">
        <f>$D39+($C$27-SUM($D$38:$D$41))*($D39/$D$42)</f>
        <v>17600</v>
      </c>
    </row>
    <row r="40" spans="2:253" s="5" customFormat="1" ht="14.1" customHeight="1">
      <c r="B40" s="75" t="s">
        <v>34</v>
      </c>
      <c r="C40" s="84">
        <f>E40/E42</f>
        <v>0.1</v>
      </c>
      <c r="D40" s="78">
        <f>SUMPRODUCT($F$23:$F$24,$L$23:$L$24)</f>
        <v>6000</v>
      </c>
      <c r="E40" s="78">
        <f>$D40+($C$27-SUM($D$38:$D$41))*($D40/$D$42)</f>
        <v>6000</v>
      </c>
    </row>
    <row r="41" spans="2:253" s="5" customFormat="1" ht="14.1" customHeight="1">
      <c r="B41" s="75" t="s">
        <v>35</v>
      </c>
      <c r="C41" s="84">
        <f>E41/E42</f>
        <v>0</v>
      </c>
      <c r="D41" s="78">
        <f>SUMPRODUCT($F$23:$F$24,$M$23:$M$24)</f>
        <v>0</v>
      </c>
      <c r="E41" s="78">
        <f>$D41+($C$27-SUM($D$38:$D$41))*($D41/$D$42)</f>
        <v>0</v>
      </c>
    </row>
    <row r="42" spans="2:253" s="5" customFormat="1" ht="12.75" customHeight="1">
      <c r="B42" s="77" t="s">
        <v>10</v>
      </c>
      <c r="C42" s="85">
        <f>SUM(C38:C41)</f>
        <v>1</v>
      </c>
      <c r="D42" s="79">
        <f>SUM(D38:D41)</f>
        <v>60000</v>
      </c>
      <c r="E42" s="79">
        <f>SUM(E38:E41)</f>
        <v>60000</v>
      </c>
    </row>
    <row r="43" spans="2:253" s="5" customFormat="1" ht="12.75" customHeight="1">
      <c r="B43" s="2"/>
      <c r="C43" s="2"/>
      <c r="D43" s="2"/>
      <c r="E43" s="76"/>
    </row>
    <row r="44" spans="2:253" s="5" customFormat="1" ht="12.75" customHeight="1">
      <c r="E44" s="20"/>
      <c r="F44" s="6"/>
    </row>
    <row r="45" spans="2:253" s="5" customFormat="1" ht="12.75" customHeight="1">
      <c r="E45" s="20"/>
    </row>
    <row r="46" spans="2:253" s="5" customFormat="1" ht="12.75" customHeight="1">
      <c r="D46" s="21"/>
      <c r="E46" s="20"/>
    </row>
    <row r="47" spans="2:253" s="5" customFormat="1" ht="12.75" customHeight="1">
      <c r="D47" s="21"/>
      <c r="E47" s="20"/>
    </row>
    <row r="48" spans="2:253" s="5" customFormat="1" ht="12.75" customHeight="1">
      <c r="E48" s="20"/>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row>
    <row r="49" spans="4:5" s="5" customFormat="1" ht="12.75" customHeight="1">
      <c r="D49" s="21"/>
      <c r="E49" s="20"/>
    </row>
    <row r="50" spans="4:5" s="5" customFormat="1" ht="12.75" customHeight="1">
      <c r="E50" s="20"/>
    </row>
    <row r="51" spans="4:5" ht="12.75" customHeight="1">
      <c r="E51" s="20"/>
    </row>
    <row r="52" spans="4:5" ht="12.75" customHeight="1">
      <c r="E52" s="4"/>
    </row>
    <row r="53" spans="4:5">
      <c r="E53" s="3"/>
    </row>
    <row r="65" spans="4:5">
      <c r="D65" s="3"/>
      <c r="E65" s="3"/>
    </row>
  </sheetData>
  <mergeCells count="4">
    <mergeCell ref="E4:F4"/>
    <mergeCell ref="D5:G5"/>
    <mergeCell ref="B13:H14"/>
    <mergeCell ref="B17:H18"/>
  </mergeCells>
  <dataValidations count="2">
    <dataValidation type="list" allowBlank="1" showInputMessage="1" showErrorMessage="1" sqref="E4" xr:uid="{00000000-0002-0000-3500-000000000000}">
      <formula1>enterprise</formula1>
    </dataValidation>
    <dataValidation type="list" allowBlank="1" showInputMessage="1" showErrorMessage="1" sqref="G23:G24" xr:uid="{00000000-0002-0000-3500-000001000000}">
      <formula1>allocation</formula1>
    </dataValidation>
  </dataValidations>
  <pageMargins left="0.7" right="0.7" top="0.75" bottom="0.75" header="0.3" footer="0.3"/>
  <pageSetup scale="94" fitToHeight="0"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4">
    <pageSetUpPr fitToPage="1"/>
  </sheetPr>
  <dimension ref="B2:IS65"/>
  <sheetViews>
    <sheetView topLeftCell="A16" workbookViewId="0">
      <selection activeCell="G35" sqref="G35"/>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E33</f>
        <v>51000</v>
      </c>
      <c r="K2" s="120">
        <f t="shared" ref="K2:M2" si="0">F33</f>
        <v>39290</v>
      </c>
      <c r="L2" s="120">
        <f t="shared" si="0"/>
        <v>49000</v>
      </c>
      <c r="M2" s="120">
        <f t="shared" si="0"/>
        <v>50000</v>
      </c>
    </row>
    <row r="3" spans="2:13" ht="14.1" customHeight="1">
      <c r="B3" s="40"/>
      <c r="C3" s="40"/>
      <c r="D3" s="40"/>
      <c r="E3" s="40"/>
      <c r="F3" s="40"/>
      <c r="G3" s="40"/>
      <c r="H3" s="40"/>
      <c r="J3" s="121">
        <f>C38</f>
        <v>0.41</v>
      </c>
      <c r="K3" s="121"/>
      <c r="L3" s="121"/>
      <c r="M3" s="121"/>
    </row>
    <row r="4" spans="2:13" ht="23.25" customHeight="1">
      <c r="B4" s="40"/>
      <c r="C4" s="40"/>
      <c r="D4" s="40"/>
      <c r="E4" s="316" t="s">
        <v>118</v>
      </c>
      <c r="F4" s="316"/>
      <c r="G4" s="41"/>
      <c r="H4" s="40"/>
      <c r="J4" s="121">
        <f t="shared" ref="J4:J6" si="1">C39</f>
        <v>0.44</v>
      </c>
    </row>
    <row r="5" spans="2:13" ht="14.1" customHeight="1">
      <c r="B5" s="42"/>
      <c r="C5" s="42"/>
      <c r="D5" s="312" t="str">
        <f>'Operating Budget'!B80</f>
        <v>Accounting Services</v>
      </c>
      <c r="E5" s="312"/>
      <c r="F5" s="312"/>
      <c r="G5" s="312"/>
      <c r="H5" s="43"/>
      <c r="J5" s="121">
        <f t="shared" si="1"/>
        <v>0.15</v>
      </c>
    </row>
    <row r="6" spans="2:13" ht="19.5" customHeight="1">
      <c r="B6" s="40"/>
      <c r="C6" s="40"/>
      <c r="D6" s="40"/>
      <c r="E6" s="40"/>
      <c r="H6" s="40"/>
      <c r="J6" s="121">
        <f t="shared" si="1"/>
        <v>0</v>
      </c>
    </row>
    <row r="7" spans="2:13" ht="14.1" hidden="1" customHeight="1">
      <c r="B7" s="40"/>
      <c r="C7" s="40"/>
      <c r="D7" s="40"/>
      <c r="E7" s="40"/>
      <c r="F7" s="44"/>
      <c r="G7" s="44"/>
      <c r="H7" s="40"/>
    </row>
    <row r="8" spans="2:13" ht="14.1" customHeight="1">
      <c r="B8" s="41" t="s">
        <v>2</v>
      </c>
      <c r="C8" s="40">
        <f>'Operating Budget'!C80</f>
        <v>5520</v>
      </c>
      <c r="D8" s="40"/>
      <c r="E8" s="40"/>
      <c r="F8" s="40"/>
      <c r="G8" s="40"/>
      <c r="H8" s="40"/>
    </row>
    <row r="9" spans="2:13" ht="14.1" customHeight="1">
      <c r="B9" s="41" t="s">
        <v>3</v>
      </c>
      <c r="C9" s="40">
        <f>INDEX('Operating Budget'!$A$11:$A$107,MATCH('48'!C8,'Operating Budget'!C11:C107))</f>
        <v>48</v>
      </c>
      <c r="D9" s="40"/>
      <c r="E9" s="40"/>
      <c r="F9" s="202"/>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266</v>
      </c>
      <c r="C13" s="319"/>
      <c r="D13" s="319"/>
      <c r="E13" s="319"/>
      <c r="F13" s="319"/>
      <c r="G13" s="319"/>
      <c r="H13" s="319"/>
    </row>
    <row r="14" spans="2:13" ht="14.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t="s">
        <v>43</v>
      </c>
      <c r="C17" s="319"/>
      <c r="D17" s="319"/>
      <c r="E17" s="319"/>
      <c r="F17" s="319"/>
      <c r="G17" s="319"/>
      <c r="H17" s="319"/>
    </row>
    <row r="18" spans="2:13" ht="14.1" hidden="1" customHeight="1">
      <c r="B18" s="319"/>
      <c r="C18" s="319"/>
      <c r="D18" s="319"/>
      <c r="E18" s="319"/>
      <c r="F18" s="319"/>
      <c r="G18" s="319"/>
      <c r="H18" s="319"/>
    </row>
    <row r="19" spans="2:13" ht="14.1" customHeight="1">
      <c r="B19" s="310"/>
      <c r="C19" s="310"/>
      <c r="D19" s="310"/>
      <c r="E19" s="310"/>
      <c r="F19" s="310"/>
      <c r="G19" s="310"/>
      <c r="H19" s="310"/>
    </row>
    <row r="20" spans="2:13" s="5" customFormat="1" ht="14.1" customHeight="1">
      <c r="B20" s="36" t="s">
        <v>7</v>
      </c>
      <c r="C20" s="37"/>
      <c r="D20" s="37"/>
      <c r="E20" s="37"/>
      <c r="F20" s="37"/>
      <c r="G20" s="37"/>
      <c r="H20" s="38"/>
    </row>
    <row r="21" spans="2:13" s="5" customFormat="1" ht="14.1" customHeight="1">
      <c r="B21" s="40"/>
      <c r="C21" s="41"/>
      <c r="D21" s="40"/>
      <c r="E21" s="40"/>
      <c r="F21" s="40"/>
      <c r="G21" s="40"/>
      <c r="H21" s="40"/>
    </row>
    <row r="22" spans="2:13" s="5" customFormat="1" ht="14.1" customHeight="1">
      <c r="B22" s="67" t="str">
        <f>$D$5</f>
        <v>Accounting Services</v>
      </c>
      <c r="C22" s="67"/>
      <c r="D22" s="68"/>
      <c r="E22" s="68"/>
      <c r="F22" s="68" t="s">
        <v>10</v>
      </c>
      <c r="G22" s="69" t="s">
        <v>31</v>
      </c>
      <c r="H22" s="40"/>
      <c r="J22" s="73" t="s">
        <v>32</v>
      </c>
      <c r="K22" s="73" t="s">
        <v>33</v>
      </c>
      <c r="L22" s="73" t="s">
        <v>34</v>
      </c>
      <c r="M22" s="73" t="s">
        <v>35</v>
      </c>
    </row>
    <row r="23" spans="2:13" s="5" customFormat="1" ht="14.1" customHeight="1">
      <c r="B23" s="5" t="s">
        <v>267</v>
      </c>
      <c r="C23" s="57"/>
      <c r="D23" s="80"/>
      <c r="E23" s="66"/>
      <c r="F23" s="66">
        <v>31000</v>
      </c>
      <c r="G23" s="71" t="s">
        <v>221</v>
      </c>
      <c r="H23" s="40"/>
      <c r="J23" s="74">
        <f>INDEX(MASTER!$C$25:$F$42,MATCH($G23,allocation,0),MATCH(J$22,MASTER!$C$24:$F$24,0))</f>
        <v>0.41</v>
      </c>
      <c r="K23" s="74">
        <f>INDEX(MASTER!$C$25:$F$42,MATCH($G23,allocation,0),MATCH(K$22,MASTER!$C$24:$F$24,0))</f>
        <v>0.44</v>
      </c>
      <c r="L23" s="74">
        <f>INDEX(MASTER!$C$25:$F$42,MATCH($G23,allocation,0),MATCH(L$22,MASTER!$C$24:$F$24,0))</f>
        <v>0.15</v>
      </c>
      <c r="M23" s="74">
        <f>INDEX(MASTER!$C$25:$F$42,MATCH($G23,allocation,0),MATCH(M$22,MASTER!$C$24:$F$24,0))</f>
        <v>0</v>
      </c>
    </row>
    <row r="24" spans="2:13" s="5" customFormat="1" ht="14.1" customHeight="1">
      <c r="B24" s="5" t="s">
        <v>268</v>
      </c>
      <c r="C24" s="57"/>
      <c r="D24" s="80"/>
      <c r="E24" s="66"/>
      <c r="F24" s="66">
        <v>19000</v>
      </c>
      <c r="G24" s="81" t="s">
        <v>221</v>
      </c>
      <c r="H24" s="40"/>
      <c r="J24" s="74">
        <f>INDEX(MASTER!$C$25:$F$42,MATCH($G24,allocation,0),MATCH(J$22,MASTER!$C$24:$F$24,0))</f>
        <v>0.41</v>
      </c>
      <c r="K24" s="74">
        <f>INDEX(MASTER!$C$25:$F$42,MATCH($G24,allocation,0),MATCH(K$22,MASTER!$C$24:$F$24,0))</f>
        <v>0.44</v>
      </c>
      <c r="L24" s="74">
        <f>INDEX(MASTER!$C$25:$F$42,MATCH($G24,allocation,0),MATCH(L$22,MASTER!$C$24:$F$24,0))</f>
        <v>0.15</v>
      </c>
      <c r="M24" s="74">
        <f>INDEX(MASTER!$C$25:$F$42,MATCH($G24,allocation,0),MATCH(M$22,MASTER!$C$24:$F$24,0))</f>
        <v>0</v>
      </c>
    </row>
    <row r="25" spans="2:13" s="5" customFormat="1" ht="14.1" customHeight="1" thickBot="1">
      <c r="B25" s="49" t="s">
        <v>10</v>
      </c>
      <c r="C25" s="49"/>
      <c r="D25" s="49"/>
      <c r="E25" s="49"/>
      <c r="F25" s="50">
        <f>SUM(F23:F24)</f>
        <v>50000</v>
      </c>
      <c r="G25" s="49"/>
      <c r="H25" s="40"/>
    </row>
    <row r="26" spans="2:13" s="5" customFormat="1" ht="14.1" customHeight="1" thickTop="1">
      <c r="B26" s="40"/>
      <c r="C26" s="41"/>
      <c r="G26" s="40"/>
      <c r="H26" s="40"/>
    </row>
    <row r="27" spans="2:13" s="5" customFormat="1" ht="14.1" customHeight="1">
      <c r="B27" s="41" t="s">
        <v>11</v>
      </c>
      <c r="C27" s="35">
        <f>ROUNDUP($F$25,-$B$28)</f>
        <v>50000</v>
      </c>
      <c r="F27" s="40"/>
      <c r="G27" s="40"/>
      <c r="H27" s="40"/>
    </row>
    <row r="28" spans="2:13" s="5" customFormat="1" ht="14.1" customHeight="1">
      <c r="B28" s="51">
        <v>3</v>
      </c>
      <c r="C28" s="41"/>
      <c r="D28" s="40"/>
      <c r="E28" s="40"/>
      <c r="F28" s="40"/>
      <c r="G28" s="40"/>
      <c r="H28" s="40"/>
    </row>
    <row r="29" spans="2:13" s="5" customFormat="1" ht="14.1" customHeight="1">
      <c r="B29" s="40"/>
      <c r="C29" s="41"/>
      <c r="D29" s="40"/>
      <c r="E29" s="40"/>
      <c r="F29" s="40"/>
      <c r="G29" s="40"/>
      <c r="H29" s="40"/>
    </row>
    <row r="30" spans="2:13" s="5" customFormat="1" ht="14.1" customHeight="1">
      <c r="B30" s="40"/>
      <c r="C30" s="41"/>
      <c r="D30" s="40"/>
      <c r="E30" s="53" t="s">
        <v>12</v>
      </c>
      <c r="F30" s="54" t="s">
        <v>13</v>
      </c>
      <c r="G30" s="54" t="s">
        <v>14</v>
      </c>
      <c r="H30" s="55" t="s">
        <v>15</v>
      </c>
    </row>
    <row r="31" spans="2:13" s="5" customFormat="1" ht="14.1" customHeight="1">
      <c r="B31" s="36"/>
      <c r="C31" s="36"/>
      <c r="D31" s="36"/>
      <c r="E31" s="53" t="str">
        <f>"FY "&amp;MASTER!$B$4-1&amp;" - "&amp;MASTER!$B$4</f>
        <v>FY 2020 - 2021</v>
      </c>
      <c r="F31" s="56">
        <f>MASTER!$B$6</f>
        <v>44255</v>
      </c>
      <c r="G31" s="54" t="str">
        <f>"June "&amp;MASTER!$B$4</f>
        <v>June 2021</v>
      </c>
      <c r="H31" s="55" t="str">
        <f>"FY "&amp;MASTER!$B$4&amp;" - "&amp;MASTER!$B$5</f>
        <v>FY 2021 - 2022</v>
      </c>
    </row>
    <row r="32" spans="2:13" s="5" customFormat="1" ht="14.1" customHeight="1">
      <c r="B32" s="57"/>
      <c r="C32" s="57"/>
      <c r="D32" s="58"/>
      <c r="E32" s="59"/>
      <c r="F32" s="60"/>
      <c r="G32" s="60"/>
      <c r="H32" s="58"/>
    </row>
    <row r="33" spans="2:253" s="5" customFormat="1" ht="14.1" customHeight="1">
      <c r="B33" s="40" t="str">
        <f>$D$5</f>
        <v>Accounting Services</v>
      </c>
      <c r="C33" s="41"/>
      <c r="D33" s="58"/>
      <c r="E33" s="61">
        <v>51000</v>
      </c>
      <c r="F33" s="62">
        <v>39290</v>
      </c>
      <c r="G33" s="62">
        <v>49000</v>
      </c>
      <c r="H33" s="63">
        <f>$C$27</f>
        <v>50000</v>
      </c>
    </row>
    <row r="34" spans="2:253" s="5" customFormat="1" ht="14.1" customHeight="1">
      <c r="B34" s="40"/>
      <c r="C34" s="41"/>
      <c r="D34" s="58"/>
      <c r="E34" s="59"/>
      <c r="F34" s="59"/>
      <c r="G34" s="58"/>
      <c r="H34" s="82"/>
    </row>
    <row r="35" spans="2:253" s="5" customFormat="1" ht="14.1" customHeight="1">
      <c r="B35" s="40"/>
      <c r="C35" s="41"/>
      <c r="D35" s="58"/>
      <c r="E35" s="58"/>
      <c r="F35" s="58"/>
      <c r="G35" s="58"/>
      <c r="H35" s="63"/>
    </row>
    <row r="36" spans="2:253" s="5" customFormat="1" ht="14.1" customHeight="1">
      <c r="B36" s="2"/>
      <c r="C36" s="1"/>
    </row>
    <row r="37" spans="2:253" s="5" customFormat="1" ht="14.1" customHeight="1">
      <c r="B37" s="36" t="s">
        <v>39</v>
      </c>
      <c r="C37" s="36"/>
      <c r="D37" s="55" t="s">
        <v>40</v>
      </c>
      <c r="E37" s="55" t="s">
        <v>41</v>
      </c>
    </row>
    <row r="38" spans="2:253" s="5" customFormat="1" ht="14.1" customHeight="1">
      <c r="B38" s="75" t="s">
        <v>32</v>
      </c>
      <c r="C38" s="84">
        <f>E38/E42</f>
        <v>0.41</v>
      </c>
      <c r="D38" s="78">
        <f>SUMPRODUCT($F$23:$F$24,$J$23:$J$24)</f>
        <v>20500</v>
      </c>
      <c r="E38" s="78">
        <f>$D38+($C$27-SUM($D$38:$D$41))*($D38/$D$42)</f>
        <v>20500</v>
      </c>
    </row>
    <row r="39" spans="2:253" s="5" customFormat="1" ht="14.1" customHeight="1">
      <c r="B39" s="75" t="s">
        <v>33</v>
      </c>
      <c r="C39" s="84">
        <f>E39/E42</f>
        <v>0.44</v>
      </c>
      <c r="D39" s="78">
        <f>SUMPRODUCT($F$23:$F$24,$K$23:$K$24)</f>
        <v>22000</v>
      </c>
      <c r="E39" s="78">
        <f>$D39+($C$27-SUM($D$38:$D$41))*($D39/$D$42)</f>
        <v>22000</v>
      </c>
    </row>
    <row r="40" spans="2:253" s="5" customFormat="1" ht="14.1" customHeight="1">
      <c r="B40" s="75" t="s">
        <v>34</v>
      </c>
      <c r="C40" s="84">
        <f>E40/E42</f>
        <v>0.15</v>
      </c>
      <c r="D40" s="78">
        <f>SUMPRODUCT($F$23:$F$24,$L$23:$L$24)</f>
        <v>7500</v>
      </c>
      <c r="E40" s="78">
        <f>$D40+($C$27-SUM($D$38:$D$41))*($D40/$D$42)</f>
        <v>7500</v>
      </c>
    </row>
    <row r="41" spans="2:253" s="5" customFormat="1" ht="14.1" customHeight="1">
      <c r="B41" s="75" t="s">
        <v>35</v>
      </c>
      <c r="C41" s="84">
        <f>E41/E42</f>
        <v>0</v>
      </c>
      <c r="D41" s="78">
        <f>SUMPRODUCT($F$23:$F$24,$M$23:$M$24)</f>
        <v>0</v>
      </c>
      <c r="E41" s="78">
        <f>$D41+($C$27-SUM($D$38:$D$41))*($D41/$D$42)</f>
        <v>0</v>
      </c>
    </row>
    <row r="42" spans="2:253" s="5" customFormat="1" ht="12.75" customHeight="1">
      <c r="B42" s="77" t="s">
        <v>10</v>
      </c>
      <c r="C42" s="85">
        <f>SUM(C38:C41)</f>
        <v>1</v>
      </c>
      <c r="D42" s="79">
        <f>SUM(D38:D41)</f>
        <v>50000</v>
      </c>
      <c r="E42" s="79">
        <f>SUM(E38:E41)</f>
        <v>50000</v>
      </c>
    </row>
    <row r="43" spans="2:253" s="5" customFormat="1" ht="12.75" customHeight="1">
      <c r="B43" s="2"/>
      <c r="C43" s="2"/>
      <c r="D43" s="2"/>
      <c r="E43" s="76"/>
    </row>
    <row r="44" spans="2:253" s="5" customFormat="1" ht="12.75" customHeight="1">
      <c r="E44" s="20"/>
      <c r="F44" s="6"/>
    </row>
    <row r="45" spans="2:253" s="5" customFormat="1" ht="12.75" customHeight="1">
      <c r="E45" s="20"/>
    </row>
    <row r="46" spans="2:253" s="5" customFormat="1" ht="12.75" customHeight="1">
      <c r="D46" s="21"/>
      <c r="E46" s="20"/>
    </row>
    <row r="47" spans="2:253" s="5" customFormat="1" ht="12.75" customHeight="1">
      <c r="D47" s="21"/>
      <c r="E47" s="20"/>
    </row>
    <row r="48" spans="2:253" s="5" customFormat="1" ht="12.75" customHeight="1">
      <c r="E48" s="20"/>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row>
    <row r="49" spans="4:5" s="5" customFormat="1" ht="12.75" customHeight="1">
      <c r="D49" s="21"/>
      <c r="E49" s="20"/>
    </row>
    <row r="50" spans="4:5" s="5" customFormat="1" ht="12.75" customHeight="1">
      <c r="E50" s="20"/>
    </row>
    <row r="51" spans="4:5" ht="12.75" customHeight="1">
      <c r="E51" s="20"/>
    </row>
    <row r="52" spans="4:5" ht="12.75" customHeight="1">
      <c r="E52" s="4"/>
    </row>
    <row r="53" spans="4:5">
      <c r="E53" s="3"/>
    </row>
    <row r="65" spans="4:5">
      <c r="D65" s="3"/>
      <c r="E65" s="3"/>
    </row>
  </sheetData>
  <mergeCells count="4">
    <mergeCell ref="E4:F4"/>
    <mergeCell ref="D5:G5"/>
    <mergeCell ref="B13:H14"/>
    <mergeCell ref="B17:H18"/>
  </mergeCells>
  <dataValidations count="2">
    <dataValidation type="list" allowBlank="1" showInputMessage="1" showErrorMessage="1" sqref="G23:G24" xr:uid="{00000000-0002-0000-3600-000000000000}">
      <formula1>allocation</formula1>
    </dataValidation>
    <dataValidation type="list" allowBlank="1" showInputMessage="1" showErrorMessage="1" sqref="E4" xr:uid="{00000000-0002-0000-3600-000001000000}">
      <formula1>enterprise</formula1>
    </dataValidation>
  </dataValidations>
  <pageMargins left="0.7" right="0.7" top="0.75" bottom="0.75" header="0.3" footer="0.3"/>
  <pageSetup scale="94"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B2:IS68"/>
  <sheetViews>
    <sheetView workbookViewId="0">
      <selection activeCell="H38" sqref="H38"/>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E36</f>
        <v>15000</v>
      </c>
      <c r="K2" s="120">
        <f t="shared" ref="K2:M2" si="0">F36</f>
        <v>7231</v>
      </c>
      <c r="L2" s="120">
        <f t="shared" si="0"/>
        <v>14000</v>
      </c>
      <c r="M2" s="120">
        <f t="shared" si="0"/>
        <v>15000</v>
      </c>
    </row>
    <row r="3" spans="2:13" ht="14.1" customHeight="1">
      <c r="B3" s="40"/>
      <c r="C3" s="40"/>
      <c r="D3" s="40"/>
      <c r="E3" s="40"/>
      <c r="F3" s="40"/>
      <c r="G3" s="40"/>
      <c r="H3" s="40"/>
      <c r="J3" s="121">
        <f>C41</f>
        <v>1</v>
      </c>
      <c r="K3" s="121"/>
      <c r="L3" s="121"/>
      <c r="M3" s="121"/>
    </row>
    <row r="4" spans="2:13" ht="23.25" customHeight="1">
      <c r="B4" s="40"/>
      <c r="C4" s="40"/>
      <c r="D4" s="40"/>
      <c r="E4" s="316" t="s">
        <v>1</v>
      </c>
      <c r="F4" s="316"/>
      <c r="G4" s="41"/>
      <c r="H4" s="40"/>
      <c r="J4" s="121">
        <f t="shared" ref="J4:J6" si="1">C42</f>
        <v>0</v>
      </c>
    </row>
    <row r="5" spans="2:13" ht="14.1" customHeight="1">
      <c r="B5" s="42"/>
      <c r="C5" s="42"/>
      <c r="D5" s="42"/>
      <c r="E5" s="312" t="str">
        <f>'Operating Budget'!B22</f>
        <v>Water Sampling</v>
      </c>
      <c r="F5" s="312"/>
      <c r="G5" s="2"/>
      <c r="H5" s="43"/>
      <c r="J5" s="121">
        <f t="shared" si="1"/>
        <v>0</v>
      </c>
    </row>
    <row r="6" spans="2:13" ht="19.5" customHeight="1">
      <c r="B6" s="40"/>
      <c r="C6" s="40"/>
      <c r="D6" s="40"/>
      <c r="E6" s="40"/>
      <c r="H6" s="40"/>
      <c r="J6" s="121">
        <f t="shared" si="1"/>
        <v>0</v>
      </c>
    </row>
    <row r="7" spans="2:13" ht="14.1" customHeight="1">
      <c r="B7" s="40"/>
      <c r="C7" s="40"/>
      <c r="D7" s="40"/>
      <c r="E7" s="40"/>
      <c r="F7" s="44"/>
      <c r="G7" s="44"/>
      <c r="H7" s="40"/>
    </row>
    <row r="8" spans="2:13" ht="14.1" customHeight="1">
      <c r="B8" s="41" t="s">
        <v>2</v>
      </c>
      <c r="C8" s="40">
        <f>'Operating Budget'!C22</f>
        <v>4215</v>
      </c>
      <c r="D8" s="40"/>
      <c r="E8" s="40"/>
      <c r="F8" s="40"/>
      <c r="G8" s="202"/>
      <c r="H8" s="40"/>
    </row>
    <row r="9" spans="2:13" ht="14.1" customHeight="1">
      <c r="B9" s="41" t="s">
        <v>3</v>
      </c>
      <c r="C9" s="40">
        <f>INDEX('Operating Budget'!$A$11:$A$107,MATCH('5'!C8,'Operating Budget'!C11:C107))</f>
        <v>5</v>
      </c>
      <c r="D9" s="40"/>
      <c r="E9" s="40"/>
      <c r="F9" s="40"/>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42</v>
      </c>
      <c r="C13" s="319"/>
      <c r="D13" s="319"/>
      <c r="E13" s="319"/>
      <c r="F13" s="319"/>
      <c r="G13" s="319"/>
      <c r="H13" s="319"/>
    </row>
    <row r="14" spans="2:13" ht="14.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t="s">
        <v>43</v>
      </c>
      <c r="C17" s="319"/>
      <c r="D17" s="319"/>
      <c r="E17" s="319"/>
      <c r="F17" s="319"/>
      <c r="G17" s="319"/>
      <c r="H17" s="319"/>
    </row>
    <row r="18" spans="2:13" ht="14.1" hidden="1" customHeight="1">
      <c r="B18" s="319"/>
      <c r="C18" s="319"/>
      <c r="D18" s="319"/>
      <c r="E18" s="319"/>
      <c r="F18" s="319"/>
      <c r="G18" s="319"/>
      <c r="H18" s="319"/>
    </row>
    <row r="19" spans="2:13" ht="14.1" customHeight="1">
      <c r="B19" s="310"/>
      <c r="C19" s="310"/>
      <c r="D19" s="310"/>
      <c r="E19" s="310"/>
      <c r="F19" s="310"/>
      <c r="G19" s="310"/>
      <c r="H19" s="310"/>
    </row>
    <row r="20" spans="2:13" s="5" customFormat="1" ht="14.1" customHeight="1">
      <c r="B20" s="36" t="s">
        <v>7</v>
      </c>
      <c r="C20" s="37"/>
      <c r="D20" s="37"/>
      <c r="E20" s="37"/>
      <c r="F20" s="37"/>
      <c r="G20" s="37"/>
      <c r="H20" s="38"/>
    </row>
    <row r="21" spans="2:13" s="5" customFormat="1" ht="14.1" customHeight="1">
      <c r="B21" s="40"/>
      <c r="C21" s="41"/>
      <c r="D21" s="40"/>
      <c r="E21" s="40"/>
      <c r="F21" s="40"/>
      <c r="G21" s="40"/>
      <c r="H21" s="40"/>
    </row>
    <row r="22" spans="2:13" s="5" customFormat="1" ht="14.1" customHeight="1">
      <c r="B22" s="67" t="str">
        <f>$E$5</f>
        <v>Water Sampling</v>
      </c>
      <c r="C22" s="67"/>
      <c r="D22" s="68" t="s">
        <v>29</v>
      </c>
      <c r="E22" s="68" t="s">
        <v>30</v>
      </c>
      <c r="F22" s="68" t="s">
        <v>10</v>
      </c>
      <c r="G22" s="69" t="s">
        <v>31</v>
      </c>
      <c r="H22" s="40"/>
      <c r="J22" s="73" t="s">
        <v>32</v>
      </c>
      <c r="K22" s="73" t="s">
        <v>33</v>
      </c>
      <c r="L22" s="73" t="s">
        <v>34</v>
      </c>
      <c r="M22" s="73" t="s">
        <v>35</v>
      </c>
    </row>
    <row r="23" spans="2:13" s="5" customFormat="1" ht="14.1" customHeight="1">
      <c r="B23" s="64" t="s">
        <v>44</v>
      </c>
      <c r="C23" s="57"/>
      <c r="D23" s="80">
        <v>52</v>
      </c>
      <c r="E23" s="66">
        <v>150</v>
      </c>
      <c r="F23" s="66">
        <f>PRODUCT(D23,E23)</f>
        <v>7800</v>
      </c>
      <c r="G23" s="71" t="s">
        <v>37</v>
      </c>
      <c r="H23" s="40"/>
      <c r="J23" s="74">
        <f>INDEX(MASTER!$C$25:$F$42,MATCH($G23,allocation,0),MATCH(J$22,MASTER!$C$24:$F$24,0))</f>
        <v>1</v>
      </c>
      <c r="K23" s="74">
        <f>INDEX(MASTER!$C$25:$F$42,MATCH($G23,allocation,0),MATCH(K$22,MASTER!$C$24:$F$24,0))</f>
        <v>0</v>
      </c>
      <c r="L23" s="74">
        <f>INDEX(MASTER!$C$25:$F$42,MATCH($G23,allocation,0),MATCH(L$22,MASTER!$C$24:$F$24,0))</f>
        <v>0</v>
      </c>
      <c r="M23" s="74">
        <f>INDEX(MASTER!$C$25:$F$42,MATCH($G23,allocation,0),MATCH(M$22,MASTER!$C$24:$F$24,0))</f>
        <v>0</v>
      </c>
    </row>
    <row r="24" spans="2:13" s="5" customFormat="1" ht="14.1" customHeight="1">
      <c r="B24" s="64" t="s">
        <v>45</v>
      </c>
      <c r="C24" s="57"/>
      <c r="D24" s="80">
        <v>0</v>
      </c>
      <c r="E24" s="66">
        <v>1200</v>
      </c>
      <c r="F24" s="66">
        <f t="shared" ref="F24:F27" si="2">PRODUCT(D24,E24)</f>
        <v>0</v>
      </c>
      <c r="G24" s="81" t="s">
        <v>37</v>
      </c>
      <c r="H24" s="40"/>
      <c r="J24" s="74">
        <f>INDEX(MASTER!$C$25:$F$42,MATCH($G24,allocation,0),MATCH(J$22,MASTER!$C$24:$F$24,0))</f>
        <v>1</v>
      </c>
      <c r="K24" s="74">
        <f>INDEX(MASTER!$C$25:$F$42,MATCH($G24,allocation,0),MATCH(K$22,MASTER!$C$24:$F$24,0))</f>
        <v>0</v>
      </c>
      <c r="L24" s="74">
        <f>INDEX(MASTER!$C$25:$F$42,MATCH($G24,allocation,0),MATCH(L$22,MASTER!$C$24:$F$24,0))</f>
        <v>0</v>
      </c>
      <c r="M24" s="74">
        <f>INDEX(MASTER!$C$25:$F$42,MATCH($G24,allocation,0),MATCH(M$22,MASTER!$C$24:$F$24,0))</f>
        <v>0</v>
      </c>
    </row>
    <row r="25" spans="2:13" s="5" customFormat="1" ht="14.1" customHeight="1">
      <c r="B25" s="64" t="s">
        <v>46</v>
      </c>
      <c r="C25" s="57"/>
      <c r="D25" s="80">
        <v>1</v>
      </c>
      <c r="E25" s="66">
        <v>2500</v>
      </c>
      <c r="F25" s="66">
        <f t="shared" si="2"/>
        <v>2500</v>
      </c>
      <c r="G25" s="81" t="s">
        <v>37</v>
      </c>
      <c r="H25" s="40"/>
      <c r="J25" s="74">
        <f>INDEX(MASTER!$C$25:$F$42,MATCH($G25,allocation,0),MATCH(J$22,MASTER!$C$24:$F$24,0))</f>
        <v>1</v>
      </c>
      <c r="K25" s="74">
        <f>INDEX(MASTER!$C$25:$F$42,MATCH($G25,allocation,0),MATCH(K$22,MASTER!$C$24:$F$24,0))</f>
        <v>0</v>
      </c>
      <c r="L25" s="74">
        <f>INDEX(MASTER!$C$25:$F$42,MATCH($G25,allocation,0),MATCH(L$22,MASTER!$C$24:$F$24,0))</f>
        <v>0</v>
      </c>
      <c r="M25" s="74">
        <f>INDEX(MASTER!$C$25:$F$42,MATCH($G25,allocation,0),MATCH(M$22,MASTER!$C$24:$F$24,0))</f>
        <v>0</v>
      </c>
    </row>
    <row r="26" spans="2:13" s="5" customFormat="1" ht="14.1" customHeight="1">
      <c r="B26" s="64" t="s">
        <v>47</v>
      </c>
      <c r="C26" s="57"/>
      <c r="D26" s="80">
        <v>1</v>
      </c>
      <c r="E26" s="66">
        <v>2100</v>
      </c>
      <c r="F26" s="66">
        <f t="shared" si="2"/>
        <v>2100</v>
      </c>
      <c r="G26" s="81" t="s">
        <v>37</v>
      </c>
      <c r="H26" s="40"/>
      <c r="J26" s="74">
        <f>INDEX(MASTER!$C$25:$F$42,MATCH($G26,allocation,0),MATCH(J$22,MASTER!$C$24:$F$24,0))</f>
        <v>1</v>
      </c>
      <c r="K26" s="74">
        <f>INDEX(MASTER!$C$25:$F$42,MATCH($G26,allocation,0),MATCH(K$22,MASTER!$C$24:$F$24,0))</f>
        <v>0</v>
      </c>
      <c r="L26" s="74">
        <f>INDEX(MASTER!$C$25:$F$42,MATCH($G26,allocation,0),MATCH(L$22,MASTER!$C$24:$F$24,0))</f>
        <v>0</v>
      </c>
      <c r="M26" s="74">
        <f>INDEX(MASTER!$C$25:$F$42,MATCH($G26,allocation,0),MATCH(M$22,MASTER!$C$24:$F$24,0))</f>
        <v>0</v>
      </c>
    </row>
    <row r="27" spans="2:13" s="5" customFormat="1" ht="14.1" customHeight="1">
      <c r="B27" s="64" t="s">
        <v>48</v>
      </c>
      <c r="C27" s="57"/>
      <c r="D27" s="80">
        <v>1</v>
      </c>
      <c r="E27" s="66">
        <v>2100</v>
      </c>
      <c r="F27" s="66">
        <f t="shared" si="2"/>
        <v>2100</v>
      </c>
      <c r="G27" s="81" t="s">
        <v>37</v>
      </c>
      <c r="H27" s="40"/>
      <c r="J27" s="74">
        <f>INDEX(MASTER!$C$25:$F$42,MATCH($G27,allocation,0),MATCH(J$22,MASTER!$C$24:$F$24,0))</f>
        <v>1</v>
      </c>
      <c r="K27" s="74">
        <f>INDEX(MASTER!$C$25:$F$42,MATCH($G27,allocation,0),MATCH(K$22,MASTER!$C$24:$F$24,0))</f>
        <v>0</v>
      </c>
      <c r="L27" s="74">
        <f>INDEX(MASTER!$C$25:$F$42,MATCH($G27,allocation,0),MATCH(L$22,MASTER!$C$24:$F$24,0))</f>
        <v>0</v>
      </c>
      <c r="M27" s="74">
        <f>INDEX(MASTER!$C$25:$F$42,MATCH($G27,allocation,0),MATCH(M$22,MASTER!$C$24:$F$24,0))</f>
        <v>0</v>
      </c>
    </row>
    <row r="28" spans="2:13" s="5" customFormat="1" ht="14.1" customHeight="1" thickBot="1">
      <c r="B28" s="49" t="s">
        <v>10</v>
      </c>
      <c r="C28" s="49"/>
      <c r="D28" s="49"/>
      <c r="E28" s="49"/>
      <c r="F28" s="50">
        <f>SUM(F23:F27)</f>
        <v>14500</v>
      </c>
      <c r="G28" s="49"/>
      <c r="H28" s="40"/>
    </row>
    <row r="29" spans="2:13" s="5" customFormat="1" ht="14.1" customHeight="1" thickTop="1">
      <c r="B29" s="40"/>
      <c r="C29" s="41"/>
      <c r="G29" s="40"/>
      <c r="H29" s="40"/>
    </row>
    <row r="30" spans="2:13" s="5" customFormat="1" ht="14.1" customHeight="1">
      <c r="B30" s="41" t="s">
        <v>11</v>
      </c>
      <c r="C30" s="35">
        <f>ROUNDUP($F$28,-$B$31)</f>
        <v>15000</v>
      </c>
      <c r="F30" s="40"/>
      <c r="G30" s="40"/>
      <c r="H30" s="40"/>
    </row>
    <row r="31" spans="2:13" s="5" customFormat="1" ht="14.1" customHeight="1">
      <c r="B31" s="51">
        <v>3</v>
      </c>
      <c r="C31" s="41"/>
      <c r="D31" s="40"/>
      <c r="E31" s="40"/>
      <c r="F31" s="40"/>
      <c r="G31" s="40"/>
      <c r="H31" s="40"/>
    </row>
    <row r="32" spans="2:13" s="5" customFormat="1" ht="14.1" customHeight="1">
      <c r="B32" s="40"/>
      <c r="C32" s="41"/>
      <c r="D32" s="40"/>
      <c r="E32" s="40"/>
      <c r="F32" s="40"/>
      <c r="G32" s="40"/>
      <c r="H32" s="40"/>
    </row>
    <row r="33" spans="2:8" s="5" customFormat="1" ht="14.1" customHeight="1">
      <c r="B33" s="40"/>
      <c r="C33" s="41"/>
      <c r="D33" s="40"/>
      <c r="E33" s="53" t="s">
        <v>12</v>
      </c>
      <c r="F33" s="54" t="s">
        <v>13</v>
      </c>
      <c r="G33" s="54" t="s">
        <v>14</v>
      </c>
      <c r="H33" s="55" t="s">
        <v>15</v>
      </c>
    </row>
    <row r="34" spans="2:8" s="5" customFormat="1" ht="14.1" customHeight="1">
      <c r="B34" s="36"/>
      <c r="C34" s="36"/>
      <c r="D34" s="36"/>
      <c r="E34" s="53" t="str">
        <f>"FY "&amp;MASTER!$B$4-1&amp;" - "&amp;MASTER!$B$4</f>
        <v>FY 2020 - 2021</v>
      </c>
      <c r="F34" s="56">
        <f>MASTER!$B$6</f>
        <v>44255</v>
      </c>
      <c r="G34" s="54" t="str">
        <f>"June "&amp;MASTER!$B$4</f>
        <v>June 2021</v>
      </c>
      <c r="H34" s="55" t="str">
        <f>"FY "&amp;MASTER!$B$4&amp;" - "&amp;MASTER!$B$5</f>
        <v>FY 2021 - 2022</v>
      </c>
    </row>
    <row r="35" spans="2:8" s="5" customFormat="1" ht="14.1" customHeight="1">
      <c r="B35" s="57"/>
      <c r="C35" s="57"/>
      <c r="D35" s="58"/>
      <c r="E35" s="59"/>
      <c r="F35" s="60"/>
      <c r="G35" s="60"/>
      <c r="H35" s="58"/>
    </row>
    <row r="36" spans="2:8" s="5" customFormat="1" ht="14.1" customHeight="1">
      <c r="B36" s="40" t="str">
        <f>$E$5</f>
        <v>Water Sampling</v>
      </c>
      <c r="C36" s="41"/>
      <c r="D36" s="58"/>
      <c r="E36" s="61">
        <v>15000</v>
      </c>
      <c r="F36" s="62">
        <v>7231</v>
      </c>
      <c r="G36" s="62">
        <v>14000</v>
      </c>
      <c r="H36" s="63">
        <f>C30</f>
        <v>15000</v>
      </c>
    </row>
    <row r="37" spans="2:8" s="5" customFormat="1" ht="14.1" customHeight="1">
      <c r="B37" s="40"/>
      <c r="C37" s="41"/>
      <c r="D37" s="58"/>
      <c r="E37" s="59"/>
      <c r="F37" s="59"/>
      <c r="G37" s="58"/>
      <c r="H37" s="82"/>
    </row>
    <row r="38" spans="2:8" s="5" customFormat="1" ht="14.1" customHeight="1">
      <c r="B38" s="2"/>
      <c r="C38" s="1"/>
    </row>
    <row r="39" spans="2:8" s="5" customFormat="1" ht="14.1" customHeight="1">
      <c r="B39" s="2"/>
      <c r="C39" s="1"/>
    </row>
    <row r="40" spans="2:8" s="5" customFormat="1" ht="14.1" customHeight="1">
      <c r="B40" s="36" t="s">
        <v>39</v>
      </c>
      <c r="C40" s="36"/>
      <c r="D40" s="55" t="s">
        <v>40</v>
      </c>
      <c r="E40" s="55" t="s">
        <v>41</v>
      </c>
    </row>
    <row r="41" spans="2:8" s="5" customFormat="1" ht="14.1" customHeight="1">
      <c r="B41" s="75" t="s">
        <v>32</v>
      </c>
      <c r="C41" s="84">
        <f>E41/E45</f>
        <v>1</v>
      </c>
      <c r="D41" s="78">
        <f>SUMPRODUCT($F$23:$F$27,$J$23:$J$27)</f>
        <v>14500</v>
      </c>
      <c r="E41" s="78">
        <f>$D41+($C$30-SUM(D$41:D$44))*($D41/$D$45)</f>
        <v>15000</v>
      </c>
    </row>
    <row r="42" spans="2:8" s="5" customFormat="1" ht="14.1" customHeight="1">
      <c r="B42" s="75" t="s">
        <v>33</v>
      </c>
      <c r="C42" s="84">
        <f>E42/E45</f>
        <v>0</v>
      </c>
      <c r="D42" s="78">
        <f>SUMPRODUCT($F$23:$F$27,$K$23:$K$27)</f>
        <v>0</v>
      </c>
      <c r="E42" s="78">
        <f t="shared" ref="E42:E44" si="3">$D42+($C$30-SUM(D$41:D$44))*($D42/$D$45)</f>
        <v>0</v>
      </c>
    </row>
    <row r="43" spans="2:8" s="5" customFormat="1" ht="14.1" customHeight="1">
      <c r="B43" s="75" t="s">
        <v>34</v>
      </c>
      <c r="C43" s="84">
        <f>E43/E45</f>
        <v>0</v>
      </c>
      <c r="D43" s="78">
        <f>SUMPRODUCT($F$23:$F$27,$L$23:$L$27)</f>
        <v>0</v>
      </c>
      <c r="E43" s="78">
        <f t="shared" si="3"/>
        <v>0</v>
      </c>
    </row>
    <row r="44" spans="2:8" s="5" customFormat="1" ht="14.1" customHeight="1">
      <c r="B44" s="75" t="s">
        <v>35</v>
      </c>
      <c r="C44" s="84">
        <f>E44/E45</f>
        <v>0</v>
      </c>
      <c r="D44" s="78">
        <f>SUMPRODUCT($F$23:$F$27,$M$23:$M$27)</f>
        <v>0</v>
      </c>
      <c r="E44" s="78">
        <f t="shared" si="3"/>
        <v>0</v>
      </c>
    </row>
    <row r="45" spans="2:8" s="5" customFormat="1" ht="12.75" customHeight="1">
      <c r="B45" s="77" t="s">
        <v>10</v>
      </c>
      <c r="C45" s="85">
        <f>SUM(C41:C44)</f>
        <v>1</v>
      </c>
      <c r="D45" s="79">
        <f>SUM(D41:D44)</f>
        <v>14500</v>
      </c>
      <c r="E45" s="79">
        <f>SUM(E41:E44)</f>
        <v>15000</v>
      </c>
    </row>
    <row r="46" spans="2:8" s="5" customFormat="1" ht="12.75" customHeight="1">
      <c r="B46" s="2"/>
      <c r="C46" s="2"/>
      <c r="D46" s="2"/>
      <c r="E46" s="76"/>
    </row>
    <row r="47" spans="2:8" s="5" customFormat="1" ht="12.75" customHeight="1">
      <c r="E47" s="20"/>
      <c r="F47" s="6"/>
    </row>
    <row r="48" spans="2:8" s="5" customFormat="1" ht="12.75" customHeight="1">
      <c r="E48" s="20"/>
    </row>
    <row r="49" spans="4:253" s="5" customFormat="1" ht="12.75" customHeight="1">
      <c r="D49" s="21"/>
      <c r="E49" s="20"/>
    </row>
    <row r="50" spans="4:253" s="5" customFormat="1" ht="12.75" customHeight="1">
      <c r="D50" s="21"/>
      <c r="E50" s="20"/>
    </row>
    <row r="51" spans="4:253" s="5" customFormat="1" ht="12.75" customHeight="1">
      <c r="E51" s="20"/>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row>
    <row r="52" spans="4:253" s="5" customFormat="1" ht="12.75" customHeight="1">
      <c r="D52" s="21"/>
      <c r="E52" s="20"/>
    </row>
    <row r="53" spans="4:253" s="5" customFormat="1" ht="12.75" customHeight="1">
      <c r="E53" s="20"/>
    </row>
    <row r="54" spans="4:253" ht="12.75" customHeight="1">
      <c r="E54" s="20"/>
    </row>
    <row r="55" spans="4:253" ht="12.75" customHeight="1">
      <c r="E55" s="4"/>
    </row>
    <row r="56" spans="4:253">
      <c r="E56" s="3"/>
    </row>
    <row r="68" spans="4:5">
      <c r="D68" s="3"/>
      <c r="E68" s="3"/>
    </row>
  </sheetData>
  <mergeCells count="4">
    <mergeCell ref="E4:F4"/>
    <mergeCell ref="E5:F5"/>
    <mergeCell ref="B13:H14"/>
    <mergeCell ref="B17:H18"/>
  </mergeCells>
  <dataValidations count="2">
    <dataValidation type="list" allowBlank="1" showInputMessage="1" showErrorMessage="1" sqref="G23:G27" xr:uid="{00000000-0002-0000-0A00-000000000000}">
      <formula1>allocation</formula1>
    </dataValidation>
    <dataValidation type="list" allowBlank="1" showInputMessage="1" showErrorMessage="1" sqref="E4" xr:uid="{00000000-0002-0000-0A00-000001000000}">
      <formula1>enterprise</formula1>
    </dataValidation>
  </dataValidations>
  <pageMargins left="0.7" right="0.7" top="0.75" bottom="0.75" header="0.3" footer="0.3"/>
  <pageSetup scale="94"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5">
    <pageSetUpPr fitToPage="1"/>
  </sheetPr>
  <dimension ref="B2:IS70"/>
  <sheetViews>
    <sheetView topLeftCell="A31" workbookViewId="0">
      <selection activeCell="B17" sqref="B17:H18"/>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E38</f>
        <v>52000</v>
      </c>
      <c r="K2" s="120">
        <f t="shared" ref="K2:M2" si="0">F38</f>
        <v>21549</v>
      </c>
      <c r="L2" s="120">
        <f t="shared" si="0"/>
        <v>26000</v>
      </c>
      <c r="M2" s="120">
        <f t="shared" si="0"/>
        <v>46000</v>
      </c>
    </row>
    <row r="3" spans="2:13" ht="14.1" customHeight="1">
      <c r="B3" s="40"/>
      <c r="C3" s="40"/>
      <c r="D3" s="40"/>
      <c r="E3" s="40"/>
      <c r="F3" s="40"/>
      <c r="G3" s="40"/>
      <c r="H3" s="40"/>
      <c r="J3" s="121">
        <f>C43</f>
        <v>0.41</v>
      </c>
      <c r="K3" s="121"/>
      <c r="L3" s="121"/>
      <c r="M3" s="121"/>
    </row>
    <row r="4" spans="2:13" ht="23.25" customHeight="1">
      <c r="B4" s="40"/>
      <c r="C4" s="40"/>
      <c r="D4" s="40"/>
      <c r="E4" s="316" t="s">
        <v>118</v>
      </c>
      <c r="F4" s="316"/>
      <c r="G4" s="41"/>
      <c r="H4" s="40"/>
      <c r="J4" s="121">
        <f t="shared" ref="J4:J6" si="1">C44</f>
        <v>0.44</v>
      </c>
    </row>
    <row r="5" spans="2:13" ht="14.1" customHeight="1">
      <c r="B5" s="42"/>
      <c r="C5" s="42"/>
      <c r="D5" s="312" t="str">
        <f>'Operating Budget'!B81</f>
        <v>Computer Services &amp; Subscriptions</v>
      </c>
      <c r="E5" s="312"/>
      <c r="F5" s="312"/>
      <c r="G5" s="312"/>
      <c r="H5" s="43"/>
      <c r="J5" s="121">
        <f t="shared" si="1"/>
        <v>0.15</v>
      </c>
    </row>
    <row r="6" spans="2:13" ht="19.5" customHeight="1">
      <c r="B6" s="40"/>
      <c r="C6" s="40"/>
      <c r="D6" s="40"/>
      <c r="E6" s="40"/>
      <c r="H6" s="40"/>
      <c r="J6" s="121">
        <f t="shared" si="1"/>
        <v>0</v>
      </c>
    </row>
    <row r="7" spans="2:13" ht="14.1" hidden="1" customHeight="1">
      <c r="B7" s="40"/>
      <c r="C7" s="40"/>
      <c r="D7" s="40"/>
      <c r="E7" s="40"/>
      <c r="F7" s="44"/>
      <c r="G7" s="44"/>
      <c r="H7" s="40"/>
    </row>
    <row r="8" spans="2:13" ht="14.1" customHeight="1">
      <c r="B8" s="41" t="s">
        <v>2</v>
      </c>
      <c r="C8" s="40">
        <f>'Operating Budget'!C81</f>
        <v>5530</v>
      </c>
      <c r="D8" s="40"/>
      <c r="E8" s="40"/>
      <c r="F8" s="40"/>
      <c r="G8" s="40"/>
      <c r="H8" s="40"/>
    </row>
    <row r="9" spans="2:13" ht="14.1" customHeight="1">
      <c r="B9" s="41" t="s">
        <v>3</v>
      </c>
      <c r="C9" s="40">
        <f>INDEX('Operating Budget'!$A$11:$A$107,MATCH('49'!C8,'Operating Budget'!C11:C107))</f>
        <v>49</v>
      </c>
      <c r="D9" s="40"/>
      <c r="E9" s="40"/>
      <c r="F9" s="202"/>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269</v>
      </c>
      <c r="C13" s="319"/>
      <c r="D13" s="319"/>
      <c r="E13" s="319"/>
      <c r="F13" s="319"/>
      <c r="G13" s="319"/>
      <c r="H13" s="319"/>
    </row>
    <row r="14" spans="2:13" ht="14.1" hidden="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t="s">
        <v>270</v>
      </c>
      <c r="C17" s="319"/>
      <c r="D17" s="319"/>
      <c r="E17" s="319"/>
      <c r="F17" s="319"/>
      <c r="G17" s="319"/>
      <c r="H17" s="319"/>
    </row>
    <row r="18" spans="2:13" ht="14.1" hidden="1" customHeight="1">
      <c r="B18" s="319"/>
      <c r="C18" s="319"/>
      <c r="D18" s="319"/>
      <c r="E18" s="319"/>
      <c r="F18" s="319"/>
      <c r="G18" s="319"/>
      <c r="H18" s="319"/>
    </row>
    <row r="19" spans="2:13" ht="14.1" customHeight="1">
      <c r="B19" s="310"/>
      <c r="C19" s="310"/>
      <c r="D19" s="310"/>
      <c r="E19" s="310"/>
      <c r="F19" s="310"/>
      <c r="G19" s="310"/>
      <c r="H19" s="310"/>
    </row>
    <row r="20" spans="2:13" s="5" customFormat="1" ht="14.1" customHeight="1">
      <c r="B20" s="36" t="s">
        <v>7</v>
      </c>
      <c r="C20" s="37"/>
      <c r="D20" s="37"/>
      <c r="E20" s="37"/>
      <c r="F20" s="37"/>
      <c r="G20" s="37"/>
      <c r="H20" s="38"/>
    </row>
    <row r="21" spans="2:13" s="5" customFormat="1" ht="14.1" customHeight="1">
      <c r="B21" s="40"/>
      <c r="C21" s="41"/>
      <c r="D21" s="40"/>
      <c r="E21" s="40"/>
      <c r="F21" s="40"/>
      <c r="G21" s="40"/>
      <c r="H21" s="40"/>
    </row>
    <row r="22" spans="2:13" s="5" customFormat="1" ht="14.1" customHeight="1">
      <c r="B22" s="67" t="str">
        <f>$D$5</f>
        <v>Computer Services &amp; Subscriptions</v>
      </c>
      <c r="C22" s="67"/>
      <c r="D22" s="68"/>
      <c r="E22" s="68"/>
      <c r="F22" s="68" t="s">
        <v>10</v>
      </c>
      <c r="G22" s="69" t="s">
        <v>31</v>
      </c>
      <c r="H22" s="40"/>
      <c r="J22" s="73" t="s">
        <v>32</v>
      </c>
      <c r="K22" s="73" t="s">
        <v>33</v>
      </c>
      <c r="L22" s="73" t="s">
        <v>34</v>
      </c>
      <c r="M22" s="73" t="s">
        <v>35</v>
      </c>
    </row>
    <row r="23" spans="2:13" s="5" customFormat="1" ht="14.1" customHeight="1">
      <c r="B23" s="64"/>
      <c r="C23" s="57"/>
      <c r="D23" s="80"/>
      <c r="E23" s="80"/>
      <c r="F23" s="66">
        <v>0</v>
      </c>
      <c r="G23" s="81" t="s">
        <v>221</v>
      </c>
      <c r="H23" s="40"/>
      <c r="J23" s="73"/>
      <c r="K23" s="73"/>
      <c r="L23" s="73"/>
      <c r="M23" s="73"/>
    </row>
    <row r="24" spans="2:13" s="5" customFormat="1" ht="14.1" customHeight="1">
      <c r="B24" s="64" t="s">
        <v>271</v>
      </c>
      <c r="C24" s="57"/>
      <c r="D24" s="80"/>
      <c r="E24" s="80"/>
      <c r="F24" s="66">
        <v>18000</v>
      </c>
      <c r="G24" s="81" t="s">
        <v>221</v>
      </c>
      <c r="H24" s="40"/>
      <c r="J24" s="73"/>
      <c r="K24" s="73"/>
      <c r="L24" s="73"/>
      <c r="M24" s="73"/>
    </row>
    <row r="25" spans="2:13" s="5" customFormat="1" ht="14.1" customHeight="1">
      <c r="B25" s="5" t="s">
        <v>272</v>
      </c>
      <c r="C25" s="57"/>
      <c r="D25" s="80"/>
      <c r="E25" s="66"/>
      <c r="F25" s="66">
        <v>13000</v>
      </c>
      <c r="G25" s="81" t="s">
        <v>221</v>
      </c>
      <c r="H25" s="40"/>
      <c r="J25" s="74">
        <f>INDEX(MASTER!$C$25:$F$42,MATCH($G25,allocation,0),MATCH(J$22,MASTER!$C$24:$F$24,0))</f>
        <v>0.41</v>
      </c>
      <c r="K25" s="74">
        <f>INDEX(MASTER!$C$25:$F$42,MATCH($G25,allocation,0),MATCH(K$22,MASTER!$C$24:$F$24,0))</f>
        <v>0.44</v>
      </c>
      <c r="L25" s="74">
        <f>INDEX(MASTER!$C$25:$F$42,MATCH($G25,allocation,0),MATCH(L$22,MASTER!$C$24:$F$24,0))</f>
        <v>0.15</v>
      </c>
      <c r="M25" s="74">
        <f>INDEX(MASTER!$C$25:$F$42,MATCH($G25,allocation,0),MATCH(M$22,MASTER!$C$24:$F$24,0))</f>
        <v>0</v>
      </c>
    </row>
    <row r="26" spans="2:13" s="5" customFormat="1" ht="14.1" customHeight="1">
      <c r="B26" s="5" t="s">
        <v>273</v>
      </c>
      <c r="C26" s="57"/>
      <c r="D26" s="80"/>
      <c r="E26" s="66"/>
      <c r="F26" s="66">
        <v>1000</v>
      </c>
      <c r="G26" s="81" t="s">
        <v>221</v>
      </c>
      <c r="H26" s="40"/>
      <c r="J26" s="74"/>
      <c r="K26" s="74"/>
      <c r="L26" s="74"/>
      <c r="M26" s="74"/>
    </row>
    <row r="27" spans="2:13" s="5" customFormat="1" ht="14.1" customHeight="1">
      <c r="B27" s="5" t="s">
        <v>274</v>
      </c>
      <c r="C27" s="57"/>
      <c r="D27" s="80"/>
      <c r="E27" s="66"/>
      <c r="F27" s="66">
        <v>1600</v>
      </c>
      <c r="G27" s="81" t="s">
        <v>221</v>
      </c>
      <c r="H27" s="40"/>
      <c r="J27" s="74"/>
      <c r="K27" s="74"/>
      <c r="L27" s="74"/>
      <c r="M27" s="74"/>
    </row>
    <row r="28" spans="2:13" s="5" customFormat="1" ht="14.1" customHeight="1">
      <c r="B28" s="5" t="s">
        <v>275</v>
      </c>
      <c r="C28" s="57"/>
      <c r="D28" s="80"/>
      <c r="E28" s="66"/>
      <c r="F28" s="66">
        <v>6000</v>
      </c>
      <c r="G28" s="81" t="s">
        <v>221</v>
      </c>
      <c r="H28" s="40"/>
      <c r="J28" s="74"/>
      <c r="K28" s="74"/>
      <c r="L28" s="74"/>
      <c r="M28" s="74"/>
    </row>
    <row r="29" spans="2:13" s="5" customFormat="1" ht="14.1" customHeight="1">
      <c r="B29" s="5" t="s">
        <v>276</v>
      </c>
      <c r="C29" s="57"/>
      <c r="D29" s="80"/>
      <c r="E29" s="66"/>
      <c r="F29" s="66">
        <v>6000</v>
      </c>
      <c r="G29" s="81" t="s">
        <v>221</v>
      </c>
      <c r="H29" s="40"/>
      <c r="J29" s="74"/>
      <c r="K29" s="74"/>
      <c r="L29" s="74"/>
      <c r="M29" s="74"/>
    </row>
    <row r="30" spans="2:13" s="5" customFormat="1" ht="14.1" customHeight="1" thickBot="1">
      <c r="B30" s="49" t="s">
        <v>10</v>
      </c>
      <c r="C30" s="49"/>
      <c r="D30" s="49"/>
      <c r="E30" s="49"/>
      <c r="F30" s="50">
        <f>SUM(F23:F29)</f>
        <v>45600</v>
      </c>
      <c r="G30" s="49"/>
      <c r="H30" s="40"/>
    </row>
    <row r="31" spans="2:13" s="5" customFormat="1" ht="14.1" customHeight="1" thickTop="1">
      <c r="B31" s="40"/>
      <c r="C31" s="41"/>
      <c r="G31" s="40"/>
      <c r="H31" s="40"/>
    </row>
    <row r="32" spans="2:13" s="5" customFormat="1" ht="14.1" customHeight="1">
      <c r="B32" s="41" t="s">
        <v>11</v>
      </c>
      <c r="C32" s="35">
        <f>ROUNDUP($F$30,-$B$33)</f>
        <v>46000</v>
      </c>
      <c r="F32" s="40"/>
      <c r="G32" s="40"/>
      <c r="H32" s="40"/>
    </row>
    <row r="33" spans="2:8" s="5" customFormat="1" ht="14.1" customHeight="1">
      <c r="B33" s="51">
        <v>3</v>
      </c>
      <c r="C33" s="41"/>
      <c r="D33" s="40"/>
      <c r="E33" s="40"/>
      <c r="F33" s="40"/>
      <c r="G33" s="40"/>
      <c r="H33" s="40"/>
    </row>
    <row r="34" spans="2:8" s="5" customFormat="1" ht="14.1" customHeight="1">
      <c r="B34" s="40"/>
      <c r="C34" s="41"/>
      <c r="D34" s="40"/>
      <c r="E34" s="40"/>
      <c r="F34" s="40"/>
      <c r="G34" s="40"/>
      <c r="H34" s="40"/>
    </row>
    <row r="35" spans="2:8" s="5" customFormat="1" ht="14.1" customHeight="1">
      <c r="B35" s="40"/>
      <c r="C35" s="41"/>
      <c r="D35" s="40"/>
      <c r="E35" s="53" t="s">
        <v>12</v>
      </c>
      <c r="F35" s="54" t="s">
        <v>13</v>
      </c>
      <c r="G35" s="54" t="s">
        <v>14</v>
      </c>
      <c r="H35" s="55" t="s">
        <v>15</v>
      </c>
    </row>
    <row r="36" spans="2:8" s="5" customFormat="1" ht="14.1" customHeight="1">
      <c r="B36" s="36"/>
      <c r="C36" s="36"/>
      <c r="D36" s="36"/>
      <c r="E36" s="53" t="str">
        <f>"FY "&amp;MASTER!$B$4-1&amp;" - "&amp;MASTER!$B$4</f>
        <v>FY 2020 - 2021</v>
      </c>
      <c r="F36" s="56">
        <f>MASTER!$B$6</f>
        <v>44255</v>
      </c>
      <c r="G36" s="54" t="str">
        <f>"June "&amp;MASTER!$B$4</f>
        <v>June 2021</v>
      </c>
      <c r="H36" s="55" t="str">
        <f>"FY "&amp;MASTER!$B$4&amp;" - "&amp;MASTER!$B$5</f>
        <v>FY 2021 - 2022</v>
      </c>
    </row>
    <row r="37" spans="2:8" s="5" customFormat="1" ht="14.1" customHeight="1">
      <c r="B37" s="57"/>
      <c r="C37" s="57"/>
      <c r="D37" s="58"/>
      <c r="E37" s="59"/>
      <c r="F37" s="60"/>
      <c r="G37" s="60"/>
      <c r="H37" s="58"/>
    </row>
    <row r="38" spans="2:8" s="5" customFormat="1" ht="14.1" customHeight="1">
      <c r="B38" s="40" t="str">
        <f>$D$5</f>
        <v>Computer Services &amp; Subscriptions</v>
      </c>
      <c r="C38" s="41"/>
      <c r="D38" s="58"/>
      <c r="E38" s="61">
        <v>52000</v>
      </c>
      <c r="F38" s="62">
        <v>21549</v>
      </c>
      <c r="G38" s="62">
        <v>26000</v>
      </c>
      <c r="H38" s="63">
        <f>$C$32</f>
        <v>46000</v>
      </c>
    </row>
    <row r="39" spans="2:8" s="5" customFormat="1" ht="14.1" customHeight="1">
      <c r="B39" s="40"/>
      <c r="C39" s="41"/>
      <c r="D39" s="58"/>
      <c r="E39" s="59"/>
      <c r="F39" s="59"/>
      <c r="G39" s="58"/>
      <c r="H39" s="82"/>
    </row>
    <row r="40" spans="2:8" s="5" customFormat="1" ht="14.1" customHeight="1">
      <c r="B40" s="40"/>
      <c r="C40" s="41"/>
      <c r="D40" s="58"/>
      <c r="E40" s="58"/>
      <c r="F40" s="58"/>
      <c r="G40" s="58"/>
      <c r="H40" s="63"/>
    </row>
    <row r="41" spans="2:8" s="5" customFormat="1" ht="14.1" customHeight="1">
      <c r="B41" s="2"/>
      <c r="C41" s="1"/>
    </row>
    <row r="42" spans="2:8" s="5" customFormat="1" ht="14.1" customHeight="1">
      <c r="B42" s="36" t="s">
        <v>39</v>
      </c>
      <c r="C42" s="36"/>
      <c r="D42" s="55" t="s">
        <v>40</v>
      </c>
      <c r="E42" s="55" t="s">
        <v>41</v>
      </c>
    </row>
    <row r="43" spans="2:8" s="5" customFormat="1" ht="14.1" customHeight="1">
      <c r="B43" s="75" t="s">
        <v>32</v>
      </c>
      <c r="C43" s="84">
        <f>E43/E47</f>
        <v>0.41</v>
      </c>
      <c r="D43" s="78">
        <f>SUMPRODUCT($F$25:$F$29,$J$25:$J$29)</f>
        <v>5330</v>
      </c>
      <c r="E43" s="78">
        <f>$D43+($C$32-SUM($D$43:$D$46))*($D43/$D$47)</f>
        <v>18860</v>
      </c>
    </row>
    <row r="44" spans="2:8" s="5" customFormat="1" ht="14.1" customHeight="1">
      <c r="B44" s="75" t="s">
        <v>33</v>
      </c>
      <c r="C44" s="84">
        <f>E44/E47</f>
        <v>0.44</v>
      </c>
      <c r="D44" s="78">
        <f>SUMPRODUCT($F$25:$F$29,$K$25:$K$29)</f>
        <v>5720</v>
      </c>
      <c r="E44" s="78">
        <f>$D44+($C$32-SUM($D$43:$D$46))*($D44/$D$47)</f>
        <v>20240</v>
      </c>
    </row>
    <row r="45" spans="2:8" s="5" customFormat="1" ht="14.1" customHeight="1">
      <c r="B45" s="75" t="s">
        <v>34</v>
      </c>
      <c r="C45" s="84">
        <f>E45/E47</f>
        <v>0.15</v>
      </c>
      <c r="D45" s="78">
        <f>SUMPRODUCT($F$25:$F$29,$L$25:$L$29)</f>
        <v>1950</v>
      </c>
      <c r="E45" s="78">
        <f>$D45+($C$32-SUM($D$43:$D$46))*($D45/$D$47)</f>
        <v>6900</v>
      </c>
    </row>
    <row r="46" spans="2:8" s="5" customFormat="1" ht="14.1" customHeight="1">
      <c r="B46" s="75" t="s">
        <v>35</v>
      </c>
      <c r="C46" s="84">
        <f>E46/E47</f>
        <v>0</v>
      </c>
      <c r="D46" s="78">
        <f>SUMPRODUCT($F$25:$F$29,$M$25:$M$29)</f>
        <v>0</v>
      </c>
      <c r="E46" s="78">
        <f>$D46+($C$32-SUM($D$43:$D$46))*($D46/$D$47)</f>
        <v>0</v>
      </c>
    </row>
    <row r="47" spans="2:8" s="5" customFormat="1" ht="12.75" customHeight="1">
      <c r="B47" s="77" t="s">
        <v>10</v>
      </c>
      <c r="C47" s="85">
        <f>SUM(C43:C46)</f>
        <v>1</v>
      </c>
      <c r="D47" s="79">
        <f>SUM(D43:D46)</f>
        <v>13000</v>
      </c>
      <c r="E47" s="79">
        <f>SUM(E43:E46)</f>
        <v>46000</v>
      </c>
    </row>
    <row r="48" spans="2:8" s="5" customFormat="1" ht="12.75" customHeight="1">
      <c r="B48" s="2"/>
      <c r="C48" s="2"/>
      <c r="D48" s="2"/>
      <c r="E48" s="76"/>
    </row>
    <row r="49" spans="4:253" s="5" customFormat="1" ht="12.75" customHeight="1">
      <c r="E49" s="20"/>
      <c r="F49" s="6"/>
    </row>
    <row r="50" spans="4:253" s="5" customFormat="1" ht="12.75" customHeight="1">
      <c r="E50" s="20"/>
    </row>
    <row r="51" spans="4:253" s="5" customFormat="1" ht="12.75" customHeight="1">
      <c r="D51" s="21"/>
      <c r="E51" s="20"/>
    </row>
    <row r="52" spans="4:253" s="5" customFormat="1" ht="12.75" customHeight="1">
      <c r="D52" s="21"/>
      <c r="E52" s="20"/>
    </row>
    <row r="53" spans="4:253" s="5" customFormat="1" ht="12.75" customHeight="1">
      <c r="E53" s="20"/>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row>
    <row r="54" spans="4:253" s="5" customFormat="1" ht="12.75" customHeight="1">
      <c r="D54" s="21"/>
      <c r="E54" s="20"/>
    </row>
    <row r="55" spans="4:253" s="5" customFormat="1" ht="12.75" customHeight="1">
      <c r="E55" s="20"/>
    </row>
    <row r="56" spans="4:253" ht="12.75" customHeight="1">
      <c r="E56" s="20"/>
    </row>
    <row r="57" spans="4:253" ht="12.75" customHeight="1">
      <c r="E57" s="4"/>
    </row>
    <row r="58" spans="4:253">
      <c r="E58" s="3"/>
    </row>
    <row r="70" spans="4:5">
      <c r="D70" s="3"/>
      <c r="E70" s="3"/>
    </row>
  </sheetData>
  <mergeCells count="4">
    <mergeCell ref="E4:F4"/>
    <mergeCell ref="D5:G5"/>
    <mergeCell ref="B13:H14"/>
    <mergeCell ref="B17:H18"/>
  </mergeCells>
  <dataValidations count="2">
    <dataValidation type="list" allowBlank="1" showInputMessage="1" showErrorMessage="1" sqref="E4" xr:uid="{00000000-0002-0000-3700-000000000000}">
      <formula1>enterprise</formula1>
    </dataValidation>
    <dataValidation type="list" allowBlank="1" showInputMessage="1" showErrorMessage="1" sqref="G23:G29" xr:uid="{00000000-0002-0000-3700-000001000000}">
      <formula1>allocation</formula1>
    </dataValidation>
  </dataValidations>
  <pageMargins left="0.7" right="0.7" top="0.75" bottom="0.75" header="0.3" footer="0.3"/>
  <pageSetup scale="94" fitToHeight="0"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6">
    <pageSetUpPr fitToPage="1"/>
  </sheetPr>
  <dimension ref="B2:IS65"/>
  <sheetViews>
    <sheetView topLeftCell="A27" workbookViewId="0">
      <selection activeCell="G34" sqref="G34"/>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E33</f>
        <v>75000</v>
      </c>
      <c r="K2" s="120">
        <f t="shared" ref="K2:M2" si="0">F33</f>
        <v>32690</v>
      </c>
      <c r="L2" s="120">
        <f t="shared" si="0"/>
        <v>60000</v>
      </c>
      <c r="M2" s="120">
        <f t="shared" si="0"/>
        <v>75000</v>
      </c>
    </row>
    <row r="3" spans="2:13" ht="14.1" customHeight="1">
      <c r="B3" s="40"/>
      <c r="C3" s="40"/>
      <c r="D3" s="40"/>
      <c r="E3" s="40"/>
      <c r="F3" s="40"/>
      <c r="G3" s="40"/>
      <c r="H3" s="40"/>
      <c r="J3" s="121">
        <f>C38</f>
        <v>0.41</v>
      </c>
      <c r="K3" s="121"/>
      <c r="L3" s="121"/>
      <c r="M3" s="121"/>
    </row>
    <row r="4" spans="2:13" ht="23.25" customHeight="1">
      <c r="B4" s="40"/>
      <c r="C4" s="40"/>
      <c r="D4" s="40"/>
      <c r="E4" s="316" t="s">
        <v>118</v>
      </c>
      <c r="F4" s="316"/>
      <c r="G4" s="41"/>
      <c r="H4" s="40"/>
      <c r="J4" s="121">
        <f t="shared" ref="J4:J7" si="1">C39</f>
        <v>0.44</v>
      </c>
    </row>
    <row r="5" spans="2:13" ht="14.1" customHeight="1">
      <c r="B5" s="42"/>
      <c r="C5" s="42"/>
      <c r="D5" s="312" t="str">
        <f>'Operating Budget'!B82</f>
        <v>Engineering Services</v>
      </c>
      <c r="E5" s="312"/>
      <c r="F5" s="312"/>
      <c r="G5" s="312"/>
      <c r="H5" s="43"/>
      <c r="J5" s="121">
        <f t="shared" si="1"/>
        <v>0.15</v>
      </c>
    </row>
    <row r="6" spans="2:13" ht="19.5" customHeight="1">
      <c r="B6" s="40"/>
      <c r="C6" s="40"/>
      <c r="D6" s="40"/>
      <c r="E6" s="40"/>
      <c r="H6" s="40"/>
      <c r="J6" s="121">
        <f t="shared" si="1"/>
        <v>0</v>
      </c>
    </row>
    <row r="7" spans="2:13" ht="14.1" hidden="1" customHeight="1">
      <c r="B7" s="40"/>
      <c r="C7" s="40"/>
      <c r="D7" s="40"/>
      <c r="E7" s="40"/>
      <c r="F7" s="44"/>
      <c r="G7" s="44"/>
      <c r="H7" s="40"/>
      <c r="J7" s="121">
        <f t="shared" si="1"/>
        <v>1</v>
      </c>
    </row>
    <row r="8" spans="2:13" ht="14.1" customHeight="1">
      <c r="B8" s="41" t="s">
        <v>2</v>
      </c>
      <c r="C8" s="40">
        <f>'Operating Budget'!C82</f>
        <v>5540</v>
      </c>
      <c r="D8" s="40"/>
      <c r="E8" s="40"/>
      <c r="F8" s="40"/>
      <c r="G8" s="40"/>
      <c r="H8" s="40"/>
    </row>
    <row r="9" spans="2:13" ht="14.1" customHeight="1">
      <c r="B9" s="41" t="s">
        <v>3</v>
      </c>
      <c r="C9" s="40">
        <f>INDEX('Operating Budget'!$A$11:$A$107,MATCH('50'!C8,'Operating Budget'!C11:C107))</f>
        <v>50</v>
      </c>
      <c r="D9" s="40"/>
      <c r="E9" s="40"/>
      <c r="F9" s="202"/>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277</v>
      </c>
      <c r="C13" s="319"/>
      <c r="D13" s="319"/>
      <c r="E13" s="319"/>
      <c r="F13" s="319"/>
      <c r="G13" s="319"/>
      <c r="H13" s="319"/>
    </row>
    <row r="14" spans="2:13" ht="14.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t="s">
        <v>43</v>
      </c>
      <c r="C17" s="319"/>
      <c r="D17" s="319"/>
      <c r="E17" s="319"/>
      <c r="F17" s="319"/>
      <c r="G17" s="319"/>
      <c r="H17" s="319"/>
    </row>
    <row r="18" spans="2:13" ht="14.1" hidden="1" customHeight="1">
      <c r="B18" s="319"/>
      <c r="C18" s="319"/>
      <c r="D18" s="319"/>
      <c r="E18" s="319"/>
      <c r="F18" s="319"/>
      <c r="G18" s="319"/>
      <c r="H18" s="319"/>
    </row>
    <row r="19" spans="2:13" ht="14.1" customHeight="1">
      <c r="B19" s="310"/>
      <c r="C19" s="310"/>
      <c r="D19" s="310"/>
      <c r="E19" s="310"/>
      <c r="F19" s="310"/>
      <c r="G19" s="310"/>
      <c r="H19" s="310"/>
    </row>
    <row r="20" spans="2:13" s="5" customFormat="1" ht="14.1" customHeight="1">
      <c r="B20" s="36" t="s">
        <v>7</v>
      </c>
      <c r="C20" s="37"/>
      <c r="D20" s="37"/>
      <c r="E20" s="37"/>
      <c r="F20" s="37"/>
      <c r="G20" s="37"/>
      <c r="H20" s="38"/>
    </row>
    <row r="21" spans="2:13" s="5" customFormat="1" ht="14.1" customHeight="1">
      <c r="B21" s="40"/>
      <c r="C21" s="41"/>
      <c r="D21" s="40"/>
      <c r="E21" s="40"/>
      <c r="F21" s="40"/>
      <c r="G21" s="40"/>
      <c r="H21" s="40"/>
    </row>
    <row r="22" spans="2:13" s="5" customFormat="1" ht="14.1" customHeight="1">
      <c r="B22" s="67" t="str">
        <f>$D$5</f>
        <v>Engineering Services</v>
      </c>
      <c r="C22" s="67"/>
      <c r="D22" s="68"/>
      <c r="E22" s="68"/>
      <c r="F22" s="68" t="s">
        <v>10</v>
      </c>
      <c r="G22" s="69" t="s">
        <v>31</v>
      </c>
      <c r="H22" s="40"/>
      <c r="J22" s="73" t="s">
        <v>32</v>
      </c>
      <c r="K22" s="73" t="s">
        <v>33</v>
      </c>
      <c r="L22" s="73" t="s">
        <v>34</v>
      </c>
      <c r="M22" s="73" t="s">
        <v>35</v>
      </c>
    </row>
    <row r="23" spans="2:13" s="5" customFormat="1" ht="14.1" customHeight="1">
      <c r="B23" s="5" t="s">
        <v>278</v>
      </c>
      <c r="C23" s="57"/>
      <c r="D23" s="80"/>
      <c r="E23" s="66"/>
      <c r="F23" s="66">
        <v>75000</v>
      </c>
      <c r="G23" s="71" t="s">
        <v>221</v>
      </c>
      <c r="H23" s="40"/>
      <c r="J23" s="74">
        <f>INDEX(MASTER!$C$25:$F$42,MATCH($G23,allocation,0),MATCH(J$22,MASTER!$C$24:$F$24,0))</f>
        <v>0.41</v>
      </c>
      <c r="K23" s="74">
        <f>INDEX(MASTER!$C$25:$F$42,MATCH($G23,allocation,0),MATCH(K$22,MASTER!$C$24:$F$24,0))</f>
        <v>0.44</v>
      </c>
      <c r="L23" s="74">
        <f>INDEX(MASTER!$C$25:$F$42,MATCH($G23,allocation,0),MATCH(L$22,MASTER!$C$24:$F$24,0))</f>
        <v>0.15</v>
      </c>
      <c r="M23" s="74">
        <f>INDEX(MASTER!$C$25:$F$42,MATCH($G23,allocation,0),MATCH(M$22,MASTER!$C$24:$F$24,0))</f>
        <v>0</v>
      </c>
    </row>
    <row r="24" spans="2:13" s="5" customFormat="1" ht="14.1" customHeight="1">
      <c r="C24" s="57"/>
      <c r="D24" s="80"/>
      <c r="E24" s="66"/>
      <c r="F24" s="66"/>
      <c r="G24" s="81" t="s">
        <v>221</v>
      </c>
      <c r="H24" s="40"/>
      <c r="J24" s="74">
        <f>INDEX(MASTER!$C$25:$F$42,MATCH($G24,allocation,0),MATCH(J$22,MASTER!$C$24:$F$24,0))</f>
        <v>0.41</v>
      </c>
      <c r="K24" s="74">
        <f>INDEX(MASTER!$C$25:$F$42,MATCH($G24,allocation,0),MATCH(K$22,MASTER!$C$24:$F$24,0))</f>
        <v>0.44</v>
      </c>
      <c r="L24" s="74">
        <f>INDEX(MASTER!$C$25:$F$42,MATCH($G24,allocation,0),MATCH(L$22,MASTER!$C$24:$F$24,0))</f>
        <v>0.15</v>
      </c>
      <c r="M24" s="74">
        <f>INDEX(MASTER!$C$25:$F$42,MATCH($G24,allocation,0),MATCH(M$22,MASTER!$C$24:$F$24,0))</f>
        <v>0</v>
      </c>
    </row>
    <row r="25" spans="2:13" s="5" customFormat="1" ht="14.1" customHeight="1" thickBot="1">
      <c r="B25" s="49" t="s">
        <v>10</v>
      </c>
      <c r="C25" s="49"/>
      <c r="D25" s="49"/>
      <c r="E25" s="49"/>
      <c r="F25" s="50">
        <f>SUM(F23:F24)</f>
        <v>75000</v>
      </c>
      <c r="G25" s="49"/>
      <c r="H25" s="40"/>
    </row>
    <row r="26" spans="2:13" s="5" customFormat="1" ht="14.1" customHeight="1" thickTop="1">
      <c r="B26" s="40"/>
      <c r="C26" s="41"/>
      <c r="G26" s="40"/>
      <c r="H26" s="40"/>
    </row>
    <row r="27" spans="2:13" s="5" customFormat="1" ht="14.1" customHeight="1">
      <c r="B27" s="41" t="s">
        <v>11</v>
      </c>
      <c r="C27" s="35">
        <f>ROUNDUP($F$25,-$B$28)</f>
        <v>75000</v>
      </c>
      <c r="F27" s="40"/>
      <c r="G27" s="40"/>
      <c r="H27" s="40"/>
    </row>
    <row r="28" spans="2:13" s="5" customFormat="1" ht="14.1" customHeight="1">
      <c r="B28" s="51">
        <v>3</v>
      </c>
      <c r="C28" s="41"/>
      <c r="D28" s="40"/>
      <c r="E28" s="40"/>
      <c r="F28" s="40"/>
      <c r="G28" s="40"/>
      <c r="H28" s="40"/>
    </row>
    <row r="29" spans="2:13" s="5" customFormat="1" ht="14.1" customHeight="1">
      <c r="B29" s="40"/>
      <c r="C29" s="41"/>
      <c r="D29" s="40"/>
      <c r="E29" s="40"/>
      <c r="F29" s="40"/>
      <c r="G29" s="40"/>
      <c r="H29" s="40"/>
    </row>
    <row r="30" spans="2:13" s="5" customFormat="1" ht="14.1" customHeight="1">
      <c r="B30" s="40"/>
      <c r="C30" s="41"/>
      <c r="D30" s="40"/>
      <c r="E30" s="53" t="s">
        <v>12</v>
      </c>
      <c r="F30" s="54" t="s">
        <v>13</v>
      </c>
      <c r="G30" s="54" t="s">
        <v>14</v>
      </c>
      <c r="H30" s="55" t="s">
        <v>15</v>
      </c>
    </row>
    <row r="31" spans="2:13" s="5" customFormat="1" ht="14.1" customHeight="1">
      <c r="B31" s="36"/>
      <c r="C31" s="36"/>
      <c r="D31" s="36"/>
      <c r="E31" s="53" t="str">
        <f>"FY "&amp;MASTER!$B$4-1&amp;" - "&amp;MASTER!$B$4</f>
        <v>FY 2020 - 2021</v>
      </c>
      <c r="F31" s="56">
        <f>MASTER!$B$6</f>
        <v>44255</v>
      </c>
      <c r="G31" s="54" t="str">
        <f>"June "&amp;MASTER!$B$4</f>
        <v>June 2021</v>
      </c>
      <c r="H31" s="55" t="str">
        <f>"FY "&amp;MASTER!$B$4&amp;" - "&amp;MASTER!$B$5</f>
        <v>FY 2021 - 2022</v>
      </c>
    </row>
    <row r="32" spans="2:13" s="5" customFormat="1" ht="14.1" customHeight="1">
      <c r="B32" s="57"/>
      <c r="C32" s="57"/>
      <c r="D32" s="58"/>
      <c r="E32" s="59"/>
      <c r="F32" s="60"/>
      <c r="G32" s="60"/>
      <c r="H32" s="58"/>
    </row>
    <row r="33" spans="2:253" s="5" customFormat="1" ht="14.1" customHeight="1">
      <c r="B33" s="40" t="str">
        <f>$D$5</f>
        <v>Engineering Services</v>
      </c>
      <c r="C33" s="41"/>
      <c r="D33" s="58"/>
      <c r="E33" s="61">
        <v>75000</v>
      </c>
      <c r="F33" s="62">
        <v>32690</v>
      </c>
      <c r="G33" s="62">
        <v>60000</v>
      </c>
      <c r="H33" s="63">
        <f>$C$27</f>
        <v>75000</v>
      </c>
    </row>
    <row r="34" spans="2:253" s="5" customFormat="1" ht="14.1" customHeight="1">
      <c r="B34" s="40"/>
      <c r="C34" s="41"/>
      <c r="D34" s="58"/>
      <c r="E34" s="59"/>
      <c r="F34" s="59"/>
      <c r="G34" s="58"/>
      <c r="H34" s="82"/>
    </row>
    <row r="35" spans="2:253" s="5" customFormat="1" ht="14.1" customHeight="1">
      <c r="B35" s="40"/>
      <c r="C35" s="41"/>
      <c r="D35" s="58"/>
      <c r="E35" s="58"/>
      <c r="F35" s="58"/>
      <c r="G35" s="58"/>
      <c r="H35" s="63"/>
    </row>
    <row r="36" spans="2:253" s="5" customFormat="1" ht="14.1" customHeight="1">
      <c r="B36" s="2"/>
      <c r="C36" s="1"/>
    </row>
    <row r="37" spans="2:253" s="5" customFormat="1" ht="14.1" customHeight="1">
      <c r="B37" s="36" t="s">
        <v>39</v>
      </c>
      <c r="C37" s="36"/>
      <c r="D37" s="55" t="s">
        <v>40</v>
      </c>
      <c r="E37" s="55" t="s">
        <v>41</v>
      </c>
    </row>
    <row r="38" spans="2:253" s="5" customFormat="1" ht="14.1" customHeight="1">
      <c r="B38" s="75" t="s">
        <v>32</v>
      </c>
      <c r="C38" s="84">
        <f>E38/E42</f>
        <v>0.41</v>
      </c>
      <c r="D38" s="78">
        <f>SUMPRODUCT($F$23:$F$24,$J$23:$J$24)</f>
        <v>30749.999999999996</v>
      </c>
      <c r="E38" s="78">
        <f>$D38+($C$27-SUM($D$38:$D$41))*($D38/$D$42)</f>
        <v>30749.999999999996</v>
      </c>
    </row>
    <row r="39" spans="2:253" s="5" customFormat="1" ht="14.1" customHeight="1">
      <c r="B39" s="75" t="s">
        <v>33</v>
      </c>
      <c r="C39" s="84">
        <f>E39/E42</f>
        <v>0.44</v>
      </c>
      <c r="D39" s="78">
        <f>SUMPRODUCT($F$23:$F$24,$K$23:$K$24)</f>
        <v>33000</v>
      </c>
      <c r="E39" s="78">
        <f>$D39+($C$27-SUM($D$38:$D$41))*($D39/$D$42)</f>
        <v>33000</v>
      </c>
    </row>
    <row r="40" spans="2:253" s="5" customFormat="1" ht="14.1" customHeight="1">
      <c r="B40" s="75" t="s">
        <v>34</v>
      </c>
      <c r="C40" s="84">
        <f>E40/E42</f>
        <v>0.15</v>
      </c>
      <c r="D40" s="78">
        <f>SUMPRODUCT($F$23:$F$24,$L$23:$L$24)</f>
        <v>11250</v>
      </c>
      <c r="E40" s="78">
        <f>$D40+($C$27-SUM($D$38:$D$41))*($D40/$D$42)</f>
        <v>11250</v>
      </c>
    </row>
    <row r="41" spans="2:253" s="5" customFormat="1" ht="14.1" customHeight="1">
      <c r="B41" s="75" t="s">
        <v>35</v>
      </c>
      <c r="C41" s="84">
        <f>E41/E42</f>
        <v>0</v>
      </c>
      <c r="D41" s="78">
        <f>SUMPRODUCT($F$23:$F$24,$M$23:$M$24)</f>
        <v>0</v>
      </c>
      <c r="E41" s="78">
        <f>$D41+($C$27-SUM($D$38:$D$41))*($D41/$D$42)</f>
        <v>0</v>
      </c>
    </row>
    <row r="42" spans="2:253" s="5" customFormat="1" ht="12.75" customHeight="1">
      <c r="B42" s="77" t="s">
        <v>10</v>
      </c>
      <c r="C42" s="85">
        <f>SUM(C38:C41)</f>
        <v>1</v>
      </c>
      <c r="D42" s="79">
        <f>SUM(D38:D41)</f>
        <v>75000</v>
      </c>
      <c r="E42" s="79">
        <f>SUM(E38:E41)</f>
        <v>75000</v>
      </c>
    </row>
    <row r="43" spans="2:253" s="5" customFormat="1" ht="12.75" customHeight="1">
      <c r="B43" s="2"/>
      <c r="C43" s="2"/>
      <c r="D43" s="2"/>
      <c r="E43" s="76"/>
    </row>
    <row r="44" spans="2:253" s="5" customFormat="1" ht="12.75" customHeight="1">
      <c r="E44" s="20"/>
      <c r="F44" s="6"/>
    </row>
    <row r="45" spans="2:253" s="5" customFormat="1" ht="12.75" customHeight="1">
      <c r="E45" s="20"/>
    </row>
    <row r="46" spans="2:253" s="5" customFormat="1" ht="12.75" customHeight="1">
      <c r="D46" s="21"/>
      <c r="E46" s="20"/>
    </row>
    <row r="47" spans="2:253" s="5" customFormat="1" ht="12.75" customHeight="1">
      <c r="D47" s="21"/>
      <c r="E47" s="20"/>
    </row>
    <row r="48" spans="2:253" s="5" customFormat="1" ht="12.75" customHeight="1">
      <c r="E48" s="20"/>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row>
    <row r="49" spans="4:5" s="5" customFormat="1" ht="12.75" customHeight="1">
      <c r="D49" s="21"/>
      <c r="E49" s="20"/>
    </row>
    <row r="50" spans="4:5" s="5" customFormat="1" ht="12.75" customHeight="1">
      <c r="E50" s="20"/>
    </row>
    <row r="51" spans="4:5" ht="12.75" customHeight="1">
      <c r="E51" s="20"/>
    </row>
    <row r="52" spans="4:5" ht="12.75" customHeight="1">
      <c r="E52" s="4"/>
    </row>
    <row r="53" spans="4:5">
      <c r="E53" s="3"/>
    </row>
    <row r="65" spans="4:5">
      <c r="D65" s="3"/>
      <c r="E65" s="3"/>
    </row>
  </sheetData>
  <mergeCells count="4">
    <mergeCell ref="E4:F4"/>
    <mergeCell ref="D5:G5"/>
    <mergeCell ref="B13:H14"/>
    <mergeCell ref="B17:H18"/>
  </mergeCells>
  <dataValidations count="2">
    <dataValidation type="list" allowBlank="1" showInputMessage="1" showErrorMessage="1" sqref="E4" xr:uid="{00000000-0002-0000-3800-000000000000}">
      <formula1>enterprise</formula1>
    </dataValidation>
    <dataValidation type="list" allowBlank="1" showInputMessage="1" showErrorMessage="1" sqref="G23:G24" xr:uid="{00000000-0002-0000-3800-000001000000}">
      <formula1>allocation</formula1>
    </dataValidation>
  </dataValidations>
  <pageMargins left="0.7" right="0.7" top="0.75" bottom="0.75" header="0.3" footer="0.3"/>
  <pageSetup scale="94" fitToHeight="0"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7">
    <pageSetUpPr fitToPage="1"/>
  </sheetPr>
  <dimension ref="B2:IS64"/>
  <sheetViews>
    <sheetView topLeftCell="A17" workbookViewId="0">
      <selection activeCell="B17" sqref="B17:H18"/>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E32</f>
        <v>4000</v>
      </c>
      <c r="K2" s="120">
        <f t="shared" ref="K2:M2" si="0">F32</f>
        <v>2500</v>
      </c>
      <c r="L2" s="120">
        <f t="shared" si="0"/>
        <v>4000</v>
      </c>
      <c r="M2" s="120">
        <f t="shared" si="0"/>
        <v>4000</v>
      </c>
    </row>
    <row r="3" spans="2:13" ht="14.1" customHeight="1">
      <c r="B3" s="40"/>
      <c r="C3" s="40"/>
      <c r="D3" s="40"/>
      <c r="E3" s="40"/>
      <c r="F3" s="40"/>
      <c r="G3" s="40"/>
      <c r="H3" s="40"/>
      <c r="J3" s="121">
        <f>C37</f>
        <v>0.41</v>
      </c>
      <c r="K3" s="121"/>
      <c r="L3" s="121"/>
      <c r="M3" s="121"/>
    </row>
    <row r="4" spans="2:13" ht="23.25" customHeight="1">
      <c r="B4" s="40"/>
      <c r="C4" s="40"/>
      <c r="D4" s="40"/>
      <c r="E4" s="316" t="s">
        <v>118</v>
      </c>
      <c r="F4" s="316"/>
      <c r="G4" s="41"/>
      <c r="H4" s="40"/>
      <c r="J4" s="121">
        <f t="shared" ref="J4:J6" si="1">C38</f>
        <v>0.44</v>
      </c>
    </row>
    <row r="5" spans="2:13" ht="14.1" customHeight="1">
      <c r="B5" s="42"/>
      <c r="C5" s="42"/>
      <c r="D5" s="312" t="str">
        <f>'Operating Budget'!B83</f>
        <v>Bank &amp; Trustee Fees</v>
      </c>
      <c r="E5" s="312"/>
      <c r="F5" s="312"/>
      <c r="G5" s="312"/>
      <c r="H5" s="43"/>
      <c r="J5" s="121">
        <f t="shared" si="1"/>
        <v>0.15</v>
      </c>
    </row>
    <row r="6" spans="2:13" ht="19.5" customHeight="1">
      <c r="B6" s="40"/>
      <c r="C6" s="40"/>
      <c r="D6" s="40"/>
      <c r="E6" s="40"/>
      <c r="H6" s="40"/>
      <c r="J6" s="121">
        <f t="shared" si="1"/>
        <v>0</v>
      </c>
    </row>
    <row r="7" spans="2:13" ht="14.1" hidden="1" customHeight="1">
      <c r="B7" s="40"/>
      <c r="C7" s="40"/>
      <c r="D7" s="40"/>
      <c r="E7" s="40"/>
      <c r="F7" s="44"/>
      <c r="G7" s="44"/>
      <c r="H7" s="40"/>
    </row>
    <row r="8" spans="2:13" ht="14.1" customHeight="1">
      <c r="B8" s="41" t="s">
        <v>2</v>
      </c>
      <c r="C8" s="40">
        <f>'Operating Budget'!C83</f>
        <v>5560</v>
      </c>
      <c r="D8" s="40"/>
      <c r="E8" s="40"/>
      <c r="F8" s="40"/>
      <c r="G8" s="40"/>
      <c r="H8" s="40"/>
    </row>
    <row r="9" spans="2:13" ht="14.1" customHeight="1">
      <c r="B9" s="41" t="s">
        <v>3</v>
      </c>
      <c r="C9" s="40">
        <f>INDEX('Operating Budget'!$A$11:$A$107,MATCH('51'!C8,'Operating Budget'!C11:C107))</f>
        <v>51</v>
      </c>
      <c r="D9" s="40"/>
      <c r="E9" s="40"/>
      <c r="F9" s="40"/>
      <c r="G9" s="40"/>
      <c r="H9" s="40"/>
    </row>
    <row r="10" spans="2:13" ht="14.1" customHeight="1">
      <c r="B10" s="40"/>
      <c r="C10" s="40"/>
      <c r="D10" s="40"/>
      <c r="E10" s="40"/>
      <c r="F10" s="202"/>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279</v>
      </c>
      <c r="C13" s="319"/>
      <c r="D13" s="319"/>
      <c r="E13" s="319"/>
      <c r="F13" s="319"/>
      <c r="G13" s="319"/>
      <c r="H13" s="319"/>
    </row>
    <row r="14" spans="2:13" ht="14.1" hidden="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t="s">
        <v>43</v>
      </c>
      <c r="C17" s="319"/>
      <c r="D17" s="319"/>
      <c r="E17" s="319"/>
      <c r="F17" s="319"/>
      <c r="G17" s="319"/>
      <c r="H17" s="319"/>
    </row>
    <row r="18" spans="2:13" ht="14.1" hidden="1" customHeight="1">
      <c r="B18" s="319"/>
      <c r="C18" s="319"/>
      <c r="D18" s="319"/>
      <c r="E18" s="319"/>
      <c r="F18" s="319"/>
      <c r="G18" s="319"/>
      <c r="H18" s="319"/>
    </row>
    <row r="19" spans="2:13" ht="14.1" customHeight="1">
      <c r="B19" s="310"/>
      <c r="C19" s="310"/>
      <c r="D19" s="310"/>
      <c r="E19" s="310"/>
      <c r="F19" s="310"/>
      <c r="G19" s="310"/>
      <c r="H19" s="310"/>
    </row>
    <row r="20" spans="2:13" s="5" customFormat="1" ht="14.1" customHeight="1">
      <c r="B20" s="36" t="s">
        <v>7</v>
      </c>
      <c r="C20" s="37"/>
      <c r="D20" s="37"/>
      <c r="E20" s="37"/>
      <c r="F20" s="37"/>
      <c r="G20" s="37"/>
      <c r="H20" s="38"/>
    </row>
    <row r="21" spans="2:13" s="5" customFormat="1" ht="14.1" customHeight="1">
      <c r="B21" s="40"/>
      <c r="C21" s="41"/>
      <c r="D21" s="40"/>
      <c r="E21" s="40"/>
      <c r="F21" s="40"/>
      <c r="G21" s="40"/>
      <c r="H21" s="40"/>
    </row>
    <row r="22" spans="2:13" s="5" customFormat="1" ht="14.1" customHeight="1">
      <c r="B22" s="67" t="str">
        <f>$D$5</f>
        <v>Bank &amp; Trustee Fees</v>
      </c>
      <c r="C22" s="67"/>
      <c r="D22" s="68"/>
      <c r="E22" s="68"/>
      <c r="F22" s="68" t="s">
        <v>10</v>
      </c>
      <c r="G22" s="69" t="s">
        <v>31</v>
      </c>
      <c r="H22" s="40"/>
      <c r="J22" s="73" t="s">
        <v>32</v>
      </c>
      <c r="K22" s="73" t="s">
        <v>33</v>
      </c>
      <c r="L22" s="73" t="s">
        <v>34</v>
      </c>
      <c r="M22" s="73" t="s">
        <v>35</v>
      </c>
    </row>
    <row r="23" spans="2:13" s="5" customFormat="1" ht="14.1" customHeight="1">
      <c r="B23" s="5" t="s">
        <v>280</v>
      </c>
      <c r="C23" s="57"/>
      <c r="D23" s="80"/>
      <c r="E23" s="66"/>
      <c r="F23" s="66">
        <v>4000</v>
      </c>
      <c r="G23" s="71" t="s">
        <v>221</v>
      </c>
      <c r="H23" s="40"/>
      <c r="J23" s="74">
        <f>INDEX(MASTER!$C$25:$F$42,MATCH($G23,allocation,0),MATCH(J$22,MASTER!$C$24:$F$24,0))</f>
        <v>0.41</v>
      </c>
      <c r="K23" s="74">
        <f>INDEX(MASTER!$C$25:$F$42,MATCH($G23,allocation,0),MATCH(K$22,MASTER!$C$24:$F$24,0))</f>
        <v>0.44</v>
      </c>
      <c r="L23" s="74">
        <f>INDEX(MASTER!$C$25:$F$42,MATCH($G23,allocation,0),MATCH(L$22,MASTER!$C$24:$F$24,0))</f>
        <v>0.15</v>
      </c>
      <c r="M23" s="74">
        <f>INDEX(MASTER!$C$25:$F$42,MATCH($G23,allocation,0),MATCH(M$22,MASTER!$C$24:$F$24,0))</f>
        <v>0</v>
      </c>
    </row>
    <row r="24" spans="2:13" s="5" customFormat="1" ht="14.1" customHeight="1" thickBot="1">
      <c r="B24" s="49" t="s">
        <v>10</v>
      </c>
      <c r="C24" s="49"/>
      <c r="D24" s="49"/>
      <c r="E24" s="49"/>
      <c r="F24" s="50">
        <f>SUM(F23:F23)</f>
        <v>4000</v>
      </c>
      <c r="G24" s="49"/>
      <c r="H24" s="40"/>
    </row>
    <row r="25" spans="2:13" s="5" customFormat="1" ht="14.1" customHeight="1" thickTop="1">
      <c r="B25" s="40"/>
      <c r="C25" s="41"/>
      <c r="G25" s="40"/>
      <c r="H25" s="40"/>
    </row>
    <row r="26" spans="2:13" s="5" customFormat="1" ht="14.1" customHeight="1">
      <c r="B26" s="41" t="s">
        <v>11</v>
      </c>
      <c r="C26" s="35">
        <f>ROUNDUP($F$24,-$B$27)</f>
        <v>4000</v>
      </c>
      <c r="F26" s="40"/>
      <c r="G26" s="40"/>
      <c r="H26" s="40"/>
    </row>
    <row r="27" spans="2:13" s="5" customFormat="1" ht="14.1" customHeight="1">
      <c r="B27" s="51">
        <v>3</v>
      </c>
      <c r="C27" s="41"/>
      <c r="D27" s="40"/>
      <c r="E27" s="40"/>
      <c r="F27" s="40"/>
      <c r="G27" s="40"/>
      <c r="H27" s="40"/>
    </row>
    <row r="28" spans="2:13" s="5" customFormat="1" ht="14.1" customHeight="1">
      <c r="B28" s="40"/>
      <c r="C28" s="41"/>
      <c r="D28" s="40"/>
      <c r="E28" s="40"/>
      <c r="F28" s="40"/>
      <c r="G28" s="40"/>
      <c r="H28" s="40"/>
    </row>
    <row r="29" spans="2:13" s="5" customFormat="1" ht="14.1" customHeight="1">
      <c r="B29" s="40"/>
      <c r="C29" s="41"/>
      <c r="D29" s="40"/>
      <c r="E29" s="53" t="s">
        <v>12</v>
      </c>
      <c r="F29" s="54" t="s">
        <v>13</v>
      </c>
      <c r="G29" s="54" t="s">
        <v>14</v>
      </c>
      <c r="H29" s="55" t="s">
        <v>15</v>
      </c>
    </row>
    <row r="30" spans="2:13" s="5" customFormat="1" ht="14.1" customHeight="1">
      <c r="B30" s="36"/>
      <c r="C30" s="36"/>
      <c r="D30" s="36"/>
      <c r="E30" s="53" t="str">
        <f>"FY "&amp;MASTER!$B$4-1&amp;" - "&amp;MASTER!$B$4</f>
        <v>FY 2020 - 2021</v>
      </c>
      <c r="F30" s="56">
        <f>MASTER!$B$6</f>
        <v>44255</v>
      </c>
      <c r="G30" s="54" t="str">
        <f>"June "&amp;MASTER!$B$4</f>
        <v>June 2021</v>
      </c>
      <c r="H30" s="55" t="str">
        <f>"FY "&amp;MASTER!$B$4&amp;" - "&amp;MASTER!$B$5</f>
        <v>FY 2021 - 2022</v>
      </c>
    </row>
    <row r="31" spans="2:13" s="5" customFormat="1" ht="14.1" customHeight="1">
      <c r="B31" s="57"/>
      <c r="C31" s="57"/>
      <c r="D31" s="58"/>
      <c r="E31" s="59"/>
      <c r="F31" s="60"/>
      <c r="G31" s="60"/>
      <c r="H31" s="58"/>
    </row>
    <row r="32" spans="2:13" s="5" customFormat="1" ht="14.1" customHeight="1">
      <c r="B32" s="40" t="str">
        <f>$D$5</f>
        <v>Bank &amp; Trustee Fees</v>
      </c>
      <c r="C32" s="41"/>
      <c r="D32" s="58"/>
      <c r="E32" s="61">
        <v>4000</v>
      </c>
      <c r="F32" s="62">
        <v>2500</v>
      </c>
      <c r="G32" s="62">
        <v>4000</v>
      </c>
      <c r="H32" s="63">
        <f>$C$26</f>
        <v>4000</v>
      </c>
    </row>
    <row r="33" spans="2:253" s="5" customFormat="1" ht="14.1" customHeight="1">
      <c r="B33" s="40"/>
      <c r="C33" s="41"/>
      <c r="D33" s="58"/>
      <c r="E33" s="59"/>
      <c r="F33" s="59"/>
      <c r="G33" s="58"/>
      <c r="H33" s="82"/>
    </row>
    <row r="34" spans="2:253" s="5" customFormat="1" ht="14.1" customHeight="1">
      <c r="B34" s="40"/>
      <c r="C34" s="41"/>
      <c r="D34" s="58"/>
      <c r="E34" s="58"/>
      <c r="F34" s="58"/>
      <c r="G34" s="58"/>
      <c r="H34" s="63"/>
    </row>
    <row r="35" spans="2:253" s="5" customFormat="1" ht="14.1" customHeight="1">
      <c r="B35" s="2"/>
      <c r="C35" s="1"/>
    </row>
    <row r="36" spans="2:253" s="5" customFormat="1" ht="14.1" customHeight="1">
      <c r="B36" s="36" t="s">
        <v>39</v>
      </c>
      <c r="C36" s="36"/>
      <c r="D36" s="55" t="s">
        <v>40</v>
      </c>
      <c r="E36" s="55" t="s">
        <v>41</v>
      </c>
    </row>
    <row r="37" spans="2:253" s="5" customFormat="1" ht="14.1" customHeight="1">
      <c r="B37" s="75" t="s">
        <v>32</v>
      </c>
      <c r="C37" s="84">
        <f>E37/E41</f>
        <v>0.41</v>
      </c>
      <c r="D37" s="78">
        <f>SUMPRODUCT($F$23:$F$23,$J$23:$J$23)</f>
        <v>1640</v>
      </c>
      <c r="E37" s="78">
        <f>$D37+($C$26-SUM($D$37:$D$40))*($D37/$D$41)</f>
        <v>1640</v>
      </c>
    </row>
    <row r="38" spans="2:253" s="5" customFormat="1" ht="14.1" customHeight="1">
      <c r="B38" s="75" t="s">
        <v>33</v>
      </c>
      <c r="C38" s="84">
        <f>E38/E41</f>
        <v>0.44</v>
      </c>
      <c r="D38" s="78">
        <f>SUMPRODUCT($F$23:$F$23,$K$23:$K$23)</f>
        <v>1760</v>
      </c>
      <c r="E38" s="78">
        <f>$D38+($C$26-SUM($D$37:$D$40))*($D38/$D$41)</f>
        <v>1760</v>
      </c>
    </row>
    <row r="39" spans="2:253" s="5" customFormat="1" ht="14.1" customHeight="1">
      <c r="B39" s="75" t="s">
        <v>34</v>
      </c>
      <c r="C39" s="84">
        <f>E39/E41</f>
        <v>0.15</v>
      </c>
      <c r="D39" s="78">
        <f>SUMPRODUCT($F$23:$F$23,$L$23:$L$23)</f>
        <v>600</v>
      </c>
      <c r="E39" s="78">
        <f>$D39+($C$26-SUM($D$37:$D$40))*($D39/$D$41)</f>
        <v>600</v>
      </c>
    </row>
    <row r="40" spans="2:253" s="5" customFormat="1" ht="14.1" customHeight="1">
      <c r="B40" s="75" t="s">
        <v>35</v>
      </c>
      <c r="C40" s="84">
        <f>E40/E41</f>
        <v>0</v>
      </c>
      <c r="D40" s="78">
        <f>SUMPRODUCT($F$23:$F$23,$M$23:$M$23)</f>
        <v>0</v>
      </c>
      <c r="E40" s="78">
        <f>$D40+($C$26-SUM($D$37:$D$40))*($D40/$D$41)</f>
        <v>0</v>
      </c>
    </row>
    <row r="41" spans="2:253" s="5" customFormat="1" ht="12.75" customHeight="1">
      <c r="B41" s="77" t="s">
        <v>10</v>
      </c>
      <c r="C41" s="85">
        <f>SUM(C37:C40)</f>
        <v>1</v>
      </c>
      <c r="D41" s="79">
        <f>SUM(D37:D40)</f>
        <v>4000</v>
      </c>
      <c r="E41" s="79">
        <f>SUM(E37:E40)</f>
        <v>4000</v>
      </c>
    </row>
    <row r="42" spans="2:253" s="5" customFormat="1" ht="12.75" customHeight="1">
      <c r="B42" s="2"/>
      <c r="C42" s="2"/>
      <c r="D42" s="2"/>
      <c r="E42" s="76"/>
    </row>
    <row r="43" spans="2:253" s="5" customFormat="1" ht="12.75" customHeight="1">
      <c r="E43" s="20"/>
      <c r="F43" s="6"/>
    </row>
    <row r="44" spans="2:253" s="5" customFormat="1" ht="12.75" customHeight="1">
      <c r="E44" s="20"/>
    </row>
    <row r="45" spans="2:253" s="5" customFormat="1" ht="12.75" customHeight="1">
      <c r="D45" s="21"/>
      <c r="E45" s="20"/>
    </row>
    <row r="46" spans="2:253" s="5" customFormat="1" ht="12.75" customHeight="1">
      <c r="D46" s="21"/>
      <c r="E46" s="20"/>
    </row>
    <row r="47" spans="2:253" s="5" customFormat="1" ht="12.75" customHeight="1">
      <c r="E47" s="20"/>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row>
    <row r="48" spans="2:253" s="5" customFormat="1" ht="12.75" customHeight="1">
      <c r="D48" s="21"/>
      <c r="E48" s="20"/>
    </row>
    <row r="49" spans="4:5" s="5" customFormat="1" ht="12.75" customHeight="1">
      <c r="E49" s="20"/>
    </row>
    <row r="50" spans="4:5" ht="12.75" customHeight="1">
      <c r="E50" s="20"/>
    </row>
    <row r="51" spans="4:5" ht="12.75" customHeight="1">
      <c r="E51" s="4"/>
    </row>
    <row r="52" spans="4:5">
      <c r="E52" s="3"/>
    </row>
    <row r="64" spans="4:5">
      <c r="D64" s="3"/>
      <c r="E64" s="3"/>
    </row>
  </sheetData>
  <mergeCells count="4">
    <mergeCell ref="E4:F4"/>
    <mergeCell ref="D5:G5"/>
    <mergeCell ref="B13:H14"/>
    <mergeCell ref="B17:H18"/>
  </mergeCells>
  <dataValidations count="2">
    <dataValidation type="list" allowBlank="1" showInputMessage="1" showErrorMessage="1" sqref="G23" xr:uid="{00000000-0002-0000-3900-000000000000}">
      <formula1>allocation</formula1>
    </dataValidation>
    <dataValidation type="list" allowBlank="1" showInputMessage="1" showErrorMessage="1" sqref="E4" xr:uid="{00000000-0002-0000-3900-000001000000}">
      <formula1>enterprise</formula1>
    </dataValidation>
  </dataValidations>
  <pageMargins left="0.7" right="0.7" top="0.75" bottom="0.75" header="0.3" footer="0.3"/>
  <pageSetup scale="94" fitToHeight="0"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8">
    <pageSetUpPr fitToPage="1"/>
  </sheetPr>
  <dimension ref="B2:IS64"/>
  <sheetViews>
    <sheetView topLeftCell="A25" workbookViewId="0">
      <selection activeCell="G26" sqref="G26"/>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E32</f>
        <v>30000</v>
      </c>
      <c r="K2" s="120">
        <f t="shared" ref="K2:M2" si="0">F32</f>
        <v>1953</v>
      </c>
      <c r="L2" s="120">
        <f t="shared" si="0"/>
        <v>10000</v>
      </c>
      <c r="M2" s="120">
        <f t="shared" si="0"/>
        <v>10000</v>
      </c>
    </row>
    <row r="3" spans="2:13" ht="14.1" customHeight="1">
      <c r="B3" s="40"/>
      <c r="C3" s="40"/>
      <c r="D3" s="40"/>
      <c r="E3" s="40"/>
      <c r="F3" s="40"/>
      <c r="G3" s="40"/>
      <c r="H3" s="40"/>
      <c r="J3" s="121">
        <f>C37</f>
        <v>0.41</v>
      </c>
      <c r="K3" s="121"/>
      <c r="L3" s="121"/>
      <c r="M3" s="121"/>
    </row>
    <row r="4" spans="2:13" ht="23.25" customHeight="1">
      <c r="B4" s="40"/>
      <c r="C4" s="40"/>
      <c r="D4" s="40"/>
      <c r="E4" s="316" t="s">
        <v>118</v>
      </c>
      <c r="F4" s="316"/>
      <c r="G4" s="41"/>
      <c r="H4" s="40"/>
      <c r="J4" s="121">
        <f t="shared" ref="J4:J6" si="1">C38</f>
        <v>0.44</v>
      </c>
    </row>
    <row r="5" spans="2:13" ht="14.1" customHeight="1">
      <c r="B5" s="42"/>
      <c r="C5" s="42"/>
      <c r="D5" s="312" t="str">
        <f>'Operating Budget'!B84</f>
        <v>Other Professional Services</v>
      </c>
      <c r="E5" s="312"/>
      <c r="F5" s="312"/>
      <c r="G5" s="312"/>
      <c r="H5" s="43"/>
      <c r="J5" s="121">
        <f t="shared" si="1"/>
        <v>0.15</v>
      </c>
    </row>
    <row r="6" spans="2:13" ht="19.5" customHeight="1">
      <c r="B6" s="40"/>
      <c r="C6" s="40"/>
      <c r="D6" s="40"/>
      <c r="E6" s="40"/>
      <c r="H6" s="40"/>
      <c r="J6" s="121">
        <f t="shared" si="1"/>
        <v>0</v>
      </c>
    </row>
    <row r="7" spans="2:13" ht="14.1" hidden="1" customHeight="1">
      <c r="B7" s="40"/>
      <c r="C7" s="40"/>
      <c r="D7" s="40"/>
      <c r="E7" s="40"/>
      <c r="F7" s="44"/>
      <c r="G7" s="44"/>
      <c r="H7" s="40"/>
    </row>
    <row r="8" spans="2:13" ht="14.1" customHeight="1">
      <c r="B8" s="41" t="s">
        <v>2</v>
      </c>
      <c r="C8" s="40">
        <f>'Operating Budget'!C84</f>
        <v>5565</v>
      </c>
      <c r="D8" s="40"/>
      <c r="E8" s="40"/>
      <c r="F8" s="40"/>
      <c r="G8" s="40"/>
      <c r="H8" s="40"/>
    </row>
    <row r="9" spans="2:13" ht="14.1" customHeight="1">
      <c r="B9" s="41" t="s">
        <v>3</v>
      </c>
      <c r="C9" s="40">
        <f>INDEX('Operating Budget'!$A$11:$A$107,MATCH('52'!C8,'Operating Budget'!C11:C107))</f>
        <v>52</v>
      </c>
      <c r="D9" s="40"/>
      <c r="E9" s="40"/>
      <c r="F9" s="202"/>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281</v>
      </c>
      <c r="C13" s="319"/>
      <c r="D13" s="319"/>
      <c r="E13" s="319"/>
      <c r="F13" s="319"/>
      <c r="G13" s="319"/>
      <c r="H13" s="319"/>
    </row>
    <row r="14" spans="2:13" ht="14.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t="s">
        <v>282</v>
      </c>
      <c r="C17" s="319"/>
      <c r="D17" s="319"/>
      <c r="E17" s="319"/>
      <c r="F17" s="319"/>
      <c r="G17" s="319"/>
      <c r="H17" s="319"/>
    </row>
    <row r="18" spans="2:13" ht="14.1" hidden="1" customHeight="1">
      <c r="B18" s="319"/>
      <c r="C18" s="319"/>
      <c r="D18" s="319"/>
      <c r="E18" s="319"/>
      <c r="F18" s="319"/>
      <c r="G18" s="319"/>
      <c r="H18" s="319"/>
    </row>
    <row r="19" spans="2:13" ht="14.1" customHeight="1">
      <c r="B19" s="310"/>
      <c r="C19" s="310"/>
      <c r="D19" s="310"/>
      <c r="E19" s="310"/>
      <c r="F19" s="310"/>
      <c r="G19" s="310"/>
      <c r="H19" s="310"/>
    </row>
    <row r="20" spans="2:13" s="5" customFormat="1" ht="14.1" customHeight="1">
      <c r="B20" s="36" t="s">
        <v>7</v>
      </c>
      <c r="C20" s="37"/>
      <c r="D20" s="37"/>
      <c r="E20" s="37"/>
      <c r="F20" s="37"/>
      <c r="G20" s="37"/>
      <c r="H20" s="38"/>
    </row>
    <row r="21" spans="2:13" s="5" customFormat="1" ht="14.1" customHeight="1">
      <c r="B21" s="40"/>
      <c r="C21" s="41"/>
      <c r="D21" s="40"/>
      <c r="E21" s="40"/>
      <c r="F21" s="40"/>
      <c r="G21" s="40"/>
      <c r="H21" s="40"/>
    </row>
    <row r="22" spans="2:13" s="5" customFormat="1" ht="14.1" customHeight="1">
      <c r="B22" s="67" t="str">
        <f>$D$5</f>
        <v>Other Professional Services</v>
      </c>
      <c r="C22" s="67"/>
      <c r="D22" s="68"/>
      <c r="E22" s="68"/>
      <c r="F22" s="68" t="s">
        <v>10</v>
      </c>
      <c r="G22" s="69" t="s">
        <v>31</v>
      </c>
      <c r="H22" s="40"/>
      <c r="J22" s="73" t="s">
        <v>32</v>
      </c>
      <c r="K22" s="73" t="s">
        <v>33</v>
      </c>
      <c r="L22" s="73" t="s">
        <v>34</v>
      </c>
      <c r="M22" s="73" t="s">
        <v>35</v>
      </c>
    </row>
    <row r="23" spans="2:13" s="5" customFormat="1" ht="14.1" customHeight="1">
      <c r="B23" s="5" t="s">
        <v>280</v>
      </c>
      <c r="C23" s="57"/>
      <c r="D23" s="80"/>
      <c r="E23" s="66"/>
      <c r="F23" s="66">
        <v>10000</v>
      </c>
      <c r="G23" s="71" t="s">
        <v>221</v>
      </c>
      <c r="H23" s="40"/>
      <c r="J23" s="74">
        <f>INDEX(MASTER!$C$25:$F$42,MATCH($G23,allocation,0),MATCH(J$22,MASTER!$C$24:$F$24,0))</f>
        <v>0.41</v>
      </c>
      <c r="K23" s="74">
        <f>INDEX(MASTER!$C$25:$F$42,MATCH($G23,allocation,0),MATCH(K$22,MASTER!$C$24:$F$24,0))</f>
        <v>0.44</v>
      </c>
      <c r="L23" s="74">
        <f>INDEX(MASTER!$C$25:$F$42,MATCH($G23,allocation,0),MATCH(L$22,MASTER!$C$24:$F$24,0))</f>
        <v>0.15</v>
      </c>
      <c r="M23" s="74">
        <f>INDEX(MASTER!$C$25:$F$42,MATCH($G23,allocation,0),MATCH(M$22,MASTER!$C$24:$F$24,0))</f>
        <v>0</v>
      </c>
    </row>
    <row r="24" spans="2:13" s="5" customFormat="1" ht="14.1" customHeight="1" thickBot="1">
      <c r="B24" s="49" t="s">
        <v>10</v>
      </c>
      <c r="C24" s="49"/>
      <c r="D24" s="49"/>
      <c r="E24" s="49"/>
      <c r="F24" s="50">
        <f>SUM(F23:F23)</f>
        <v>10000</v>
      </c>
      <c r="G24" s="49"/>
      <c r="H24" s="40"/>
    </row>
    <row r="25" spans="2:13" s="5" customFormat="1" ht="14.1" customHeight="1" thickTop="1">
      <c r="B25" s="40"/>
      <c r="C25" s="41"/>
      <c r="G25" s="40"/>
      <c r="H25" s="40"/>
    </row>
    <row r="26" spans="2:13" s="5" customFormat="1" ht="14.1" customHeight="1">
      <c r="B26" s="41" t="s">
        <v>11</v>
      </c>
      <c r="C26" s="35">
        <f>ROUNDUP($F$24,-$B$27)</f>
        <v>10000</v>
      </c>
      <c r="F26" s="40"/>
      <c r="G26" s="40"/>
      <c r="H26" s="40"/>
    </row>
    <row r="27" spans="2:13" s="5" customFormat="1" ht="14.1" customHeight="1">
      <c r="B27" s="51">
        <v>3</v>
      </c>
      <c r="C27" s="41"/>
      <c r="D27" s="40"/>
      <c r="E27" s="40"/>
      <c r="F27" s="40"/>
      <c r="G27" s="40"/>
      <c r="H27" s="40"/>
    </row>
    <row r="28" spans="2:13" s="5" customFormat="1" ht="14.1" customHeight="1">
      <c r="B28" s="40"/>
      <c r="C28" s="41"/>
      <c r="D28" s="40"/>
      <c r="E28" s="40"/>
      <c r="F28" s="40"/>
      <c r="G28" s="40"/>
      <c r="H28" s="40"/>
    </row>
    <row r="29" spans="2:13" s="5" customFormat="1" ht="14.1" customHeight="1">
      <c r="B29" s="40"/>
      <c r="C29" s="41"/>
      <c r="D29" s="40"/>
      <c r="E29" s="53" t="s">
        <v>12</v>
      </c>
      <c r="F29" s="54" t="s">
        <v>13</v>
      </c>
      <c r="G29" s="54" t="s">
        <v>14</v>
      </c>
      <c r="H29" s="55" t="s">
        <v>15</v>
      </c>
    </row>
    <row r="30" spans="2:13" s="5" customFormat="1" ht="14.1" customHeight="1">
      <c r="B30" s="36"/>
      <c r="C30" s="36"/>
      <c r="D30" s="36"/>
      <c r="E30" s="53" t="str">
        <f>"FY "&amp;MASTER!$B$4-1&amp;" - "&amp;MASTER!$B$4</f>
        <v>FY 2020 - 2021</v>
      </c>
      <c r="F30" s="56">
        <f>MASTER!$B$6</f>
        <v>44255</v>
      </c>
      <c r="G30" s="54" t="str">
        <f>"June "&amp;MASTER!$B$4</f>
        <v>June 2021</v>
      </c>
      <c r="H30" s="55" t="str">
        <f>"FY "&amp;MASTER!$B$4&amp;" - "&amp;MASTER!$B$5</f>
        <v>FY 2021 - 2022</v>
      </c>
    </row>
    <row r="31" spans="2:13" s="5" customFormat="1" ht="14.1" customHeight="1">
      <c r="B31" s="57"/>
      <c r="C31" s="57"/>
      <c r="D31" s="58"/>
      <c r="E31" s="59"/>
      <c r="F31" s="60"/>
      <c r="G31" s="60"/>
      <c r="H31" s="58"/>
    </row>
    <row r="32" spans="2:13" s="5" customFormat="1" ht="14.1" customHeight="1">
      <c r="B32" s="40" t="str">
        <f>$D$5</f>
        <v>Other Professional Services</v>
      </c>
      <c r="C32" s="41"/>
      <c r="D32" s="58"/>
      <c r="E32" s="61">
        <v>30000</v>
      </c>
      <c r="F32" s="62">
        <v>1953</v>
      </c>
      <c r="G32" s="62">
        <v>10000</v>
      </c>
      <c r="H32" s="63">
        <f>$C$26</f>
        <v>10000</v>
      </c>
    </row>
    <row r="33" spans="2:253" s="5" customFormat="1" ht="14.1" customHeight="1">
      <c r="B33" s="40"/>
      <c r="C33" s="41"/>
      <c r="D33" s="58"/>
      <c r="E33" s="59"/>
      <c r="F33" s="59"/>
      <c r="G33" s="58"/>
      <c r="H33" s="82"/>
    </row>
    <row r="34" spans="2:253" s="5" customFormat="1" ht="14.1" customHeight="1">
      <c r="B34" s="40"/>
      <c r="C34" s="41"/>
      <c r="D34" s="58"/>
      <c r="E34" s="58"/>
      <c r="F34" s="58"/>
      <c r="G34" s="58"/>
      <c r="H34" s="63"/>
    </row>
    <row r="35" spans="2:253" s="5" customFormat="1" ht="14.1" customHeight="1">
      <c r="B35" s="2"/>
      <c r="C35" s="1"/>
    </row>
    <row r="36" spans="2:253" s="5" customFormat="1" ht="14.1" customHeight="1">
      <c r="B36" s="36" t="s">
        <v>39</v>
      </c>
      <c r="C36" s="36"/>
      <c r="D36" s="55" t="s">
        <v>40</v>
      </c>
      <c r="E36" s="55" t="s">
        <v>41</v>
      </c>
    </row>
    <row r="37" spans="2:253" s="5" customFormat="1" ht="14.1" customHeight="1">
      <c r="B37" s="75" t="s">
        <v>32</v>
      </c>
      <c r="C37" s="84">
        <f>E37/E41</f>
        <v>0.41</v>
      </c>
      <c r="D37" s="78">
        <f>SUMPRODUCT($F$23:$F$23,$J$23:$J$23)</f>
        <v>4100</v>
      </c>
      <c r="E37" s="78">
        <f>$D37+($C$26-SUM($D$37:$D$40))*($D37/$D$41)</f>
        <v>4100</v>
      </c>
    </row>
    <row r="38" spans="2:253" s="5" customFormat="1" ht="14.1" customHeight="1">
      <c r="B38" s="75" t="s">
        <v>33</v>
      </c>
      <c r="C38" s="84">
        <f>E38/E41</f>
        <v>0.44</v>
      </c>
      <c r="D38" s="78">
        <f>SUMPRODUCT($F$23:$F$23,$K$23:$K$23)</f>
        <v>4400</v>
      </c>
      <c r="E38" s="78">
        <f>$D38+($C$26-SUM($D$37:$D$40))*($D38/$D$41)</f>
        <v>4400</v>
      </c>
    </row>
    <row r="39" spans="2:253" s="5" customFormat="1" ht="14.1" customHeight="1">
      <c r="B39" s="75" t="s">
        <v>34</v>
      </c>
      <c r="C39" s="84">
        <f>E39/E41</f>
        <v>0.15</v>
      </c>
      <c r="D39" s="78">
        <f>SUMPRODUCT($F$23:$F$23,$L$23:$L$23)</f>
        <v>1500</v>
      </c>
      <c r="E39" s="78">
        <f>$D39+($C$26-SUM($D$37:$D$40))*($D39/$D$41)</f>
        <v>1500</v>
      </c>
    </row>
    <row r="40" spans="2:253" s="5" customFormat="1" ht="14.1" customHeight="1">
      <c r="B40" s="75" t="s">
        <v>35</v>
      </c>
      <c r="C40" s="84">
        <f>E40/E41</f>
        <v>0</v>
      </c>
      <c r="D40" s="78">
        <f>SUMPRODUCT($F$23:$F$23,$M$23:$M$23)</f>
        <v>0</v>
      </c>
      <c r="E40" s="78">
        <f>$D40+($C$26-SUM($D$37:$D$40))*($D40/$D$41)</f>
        <v>0</v>
      </c>
    </row>
    <row r="41" spans="2:253" s="5" customFormat="1" ht="12.75" customHeight="1">
      <c r="B41" s="77" t="s">
        <v>10</v>
      </c>
      <c r="C41" s="85">
        <f>SUM(C37:C40)</f>
        <v>1</v>
      </c>
      <c r="D41" s="79">
        <f>SUM(D37:D40)</f>
        <v>10000</v>
      </c>
      <c r="E41" s="79">
        <f>SUM(E37:E40)</f>
        <v>10000</v>
      </c>
    </row>
    <row r="42" spans="2:253" s="5" customFormat="1" ht="12.75" customHeight="1">
      <c r="B42" s="2"/>
      <c r="C42" s="2"/>
      <c r="D42" s="2"/>
      <c r="E42" s="76"/>
    </row>
    <row r="43" spans="2:253" s="5" customFormat="1" ht="12.75" customHeight="1">
      <c r="E43" s="20"/>
      <c r="F43" s="6"/>
    </row>
    <row r="44" spans="2:253" s="5" customFormat="1" ht="12.75" customHeight="1">
      <c r="E44" s="20"/>
    </row>
    <row r="45" spans="2:253" s="5" customFormat="1" ht="12.75" customHeight="1">
      <c r="D45" s="21"/>
      <c r="E45" s="20"/>
    </row>
    <row r="46" spans="2:253" s="5" customFormat="1" ht="12.75" customHeight="1">
      <c r="D46" s="21"/>
      <c r="E46" s="20"/>
    </row>
    <row r="47" spans="2:253" s="5" customFormat="1" ht="12.75" customHeight="1">
      <c r="E47" s="20"/>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row>
    <row r="48" spans="2:253" s="5" customFormat="1" ht="12.75" customHeight="1">
      <c r="D48" s="21"/>
      <c r="E48" s="20"/>
    </row>
    <row r="49" spans="4:5" s="5" customFormat="1" ht="12.75" customHeight="1">
      <c r="E49" s="20"/>
    </row>
    <row r="50" spans="4:5" ht="12.75" customHeight="1">
      <c r="E50" s="20"/>
    </row>
    <row r="51" spans="4:5" ht="12.75" customHeight="1">
      <c r="E51" s="4"/>
    </row>
    <row r="52" spans="4:5">
      <c r="E52" s="3"/>
    </row>
    <row r="64" spans="4:5">
      <c r="D64" s="3"/>
      <c r="E64" s="3"/>
    </row>
  </sheetData>
  <mergeCells count="4">
    <mergeCell ref="E4:F4"/>
    <mergeCell ref="D5:G5"/>
    <mergeCell ref="B13:H14"/>
    <mergeCell ref="B17:H18"/>
  </mergeCells>
  <dataValidations count="2">
    <dataValidation type="list" allowBlank="1" showInputMessage="1" showErrorMessage="1" sqref="E4" xr:uid="{00000000-0002-0000-3A00-000000000000}">
      <formula1>enterprise</formula1>
    </dataValidation>
    <dataValidation type="list" allowBlank="1" showInputMessage="1" showErrorMessage="1" sqref="G23" xr:uid="{00000000-0002-0000-3A00-000001000000}">
      <formula1>allocation</formula1>
    </dataValidation>
  </dataValidations>
  <pageMargins left="0.7" right="0.7" top="0.75" bottom="0.75" header="0.3" footer="0.3"/>
  <pageSetup scale="94" fitToHeight="0"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9">
    <pageSetUpPr fitToPage="1"/>
  </sheetPr>
  <dimension ref="B2:IS66"/>
  <sheetViews>
    <sheetView topLeftCell="A29" workbookViewId="0">
      <selection activeCell="G28" sqref="G28"/>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E34</f>
        <v>7000</v>
      </c>
      <c r="K2" s="120">
        <f t="shared" ref="K2:M2" si="0">F34</f>
        <v>637</v>
      </c>
      <c r="L2" s="120">
        <f t="shared" si="0"/>
        <v>1500</v>
      </c>
      <c r="M2" s="120">
        <f t="shared" si="0"/>
        <v>7000</v>
      </c>
    </row>
    <row r="3" spans="2:13" ht="14.1" customHeight="1">
      <c r="B3" s="40"/>
      <c r="C3" s="40"/>
      <c r="D3" s="40"/>
      <c r="E3" s="40"/>
      <c r="F3" s="40"/>
      <c r="G3" s="40"/>
      <c r="H3" s="40"/>
      <c r="J3" s="121">
        <f>C39</f>
        <v>0.33</v>
      </c>
      <c r="K3" s="121"/>
      <c r="L3" s="121"/>
      <c r="M3" s="121"/>
    </row>
    <row r="4" spans="2:13" ht="23.25" customHeight="1">
      <c r="B4" s="40"/>
      <c r="C4" s="40"/>
      <c r="D4" s="40"/>
      <c r="E4" s="316" t="s">
        <v>118</v>
      </c>
      <c r="F4" s="316"/>
      <c r="G4" s="41"/>
      <c r="H4" s="40"/>
      <c r="J4" s="121">
        <f t="shared" ref="J4:J6" si="1">C40</f>
        <v>0.34000000000000008</v>
      </c>
    </row>
    <row r="5" spans="2:13" ht="14.1" customHeight="1">
      <c r="B5" s="42"/>
      <c r="C5" s="42"/>
      <c r="D5" s="312" t="str">
        <f>'Operating Budget'!B85</f>
        <v>Legal Notices Publication</v>
      </c>
      <c r="E5" s="312"/>
      <c r="F5" s="312"/>
      <c r="G5" s="312"/>
      <c r="H5" s="43"/>
      <c r="J5" s="121">
        <f t="shared" si="1"/>
        <v>0.33</v>
      </c>
    </row>
    <row r="6" spans="2:13" ht="19.5" customHeight="1">
      <c r="B6" s="40"/>
      <c r="C6" s="40"/>
      <c r="D6" s="40"/>
      <c r="E6" s="40"/>
      <c r="H6" s="40"/>
      <c r="J6" s="121">
        <f t="shared" si="1"/>
        <v>0</v>
      </c>
    </row>
    <row r="7" spans="2:13" ht="14.1" customHeight="1">
      <c r="B7" s="40"/>
      <c r="C7" s="40"/>
      <c r="D7" s="40"/>
      <c r="E7" s="40"/>
      <c r="F7" s="44"/>
      <c r="G7" s="44"/>
      <c r="H7" s="40"/>
      <c r="J7" s="121"/>
    </row>
    <row r="8" spans="2:13" ht="14.1" customHeight="1">
      <c r="B8" s="41" t="s">
        <v>2</v>
      </c>
      <c r="C8" s="40">
        <f>'Operating Budget'!C85</f>
        <v>5600</v>
      </c>
      <c r="D8" s="40"/>
      <c r="E8" s="40"/>
      <c r="F8" s="202"/>
      <c r="G8" s="40"/>
      <c r="H8" s="40"/>
    </row>
    <row r="9" spans="2:13" ht="14.1" customHeight="1">
      <c r="B9" s="41" t="s">
        <v>3</v>
      </c>
      <c r="C9" s="40">
        <f>INDEX('Operating Budget'!$A$11:$A$107,MATCH('53'!C8,'Operating Budget'!C11:C107))</f>
        <v>53</v>
      </c>
      <c r="D9" s="40"/>
      <c r="E9" s="40"/>
      <c r="F9" s="40"/>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283</v>
      </c>
      <c r="C13" s="319"/>
      <c r="D13" s="319"/>
      <c r="E13" s="319"/>
      <c r="F13" s="319"/>
      <c r="G13" s="319"/>
      <c r="H13" s="319"/>
    </row>
    <row r="14" spans="2:13" ht="14.1" hidden="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t="s">
        <v>284</v>
      </c>
      <c r="C17" s="319"/>
      <c r="D17" s="319"/>
      <c r="E17" s="319"/>
      <c r="F17" s="319"/>
      <c r="G17" s="319"/>
      <c r="H17" s="319"/>
    </row>
    <row r="18" spans="2:13" ht="14.1" hidden="1" customHeight="1">
      <c r="B18" s="319"/>
      <c r="C18" s="319"/>
      <c r="D18" s="319"/>
      <c r="E18" s="319"/>
      <c r="F18" s="319"/>
      <c r="G18" s="319"/>
      <c r="H18" s="319"/>
    </row>
    <row r="19" spans="2:13" ht="14.1" customHeight="1">
      <c r="B19" s="310"/>
      <c r="C19" s="310"/>
      <c r="D19" s="310"/>
      <c r="E19" s="310"/>
      <c r="F19" s="310"/>
      <c r="G19" s="310"/>
      <c r="H19" s="310"/>
    </row>
    <row r="20" spans="2:13" s="5" customFormat="1" ht="14.1" customHeight="1">
      <c r="B20" s="36" t="s">
        <v>7</v>
      </c>
      <c r="C20" s="37"/>
      <c r="D20" s="37"/>
      <c r="E20" s="37"/>
      <c r="F20" s="37"/>
      <c r="G20" s="37"/>
      <c r="H20" s="38"/>
    </row>
    <row r="21" spans="2:13" s="5" customFormat="1" ht="14.1" customHeight="1">
      <c r="B21" s="40"/>
      <c r="C21" s="41"/>
      <c r="D21" s="40"/>
      <c r="E21" s="40"/>
      <c r="F21" s="40"/>
      <c r="G21" s="40"/>
      <c r="H21" s="40"/>
    </row>
    <row r="22" spans="2:13" s="5" customFormat="1" ht="14.1" customHeight="1">
      <c r="B22" s="67" t="str">
        <f>$D$5</f>
        <v>Legal Notices Publication</v>
      </c>
      <c r="C22" s="67"/>
      <c r="D22" s="68"/>
      <c r="E22" s="68"/>
      <c r="F22" s="68" t="s">
        <v>10</v>
      </c>
      <c r="G22" s="69" t="s">
        <v>31</v>
      </c>
      <c r="H22" s="40"/>
      <c r="J22" s="73" t="s">
        <v>32</v>
      </c>
      <c r="K22" s="73" t="s">
        <v>33</v>
      </c>
      <c r="L22" s="73" t="s">
        <v>34</v>
      </c>
      <c r="M22" s="73" t="s">
        <v>35</v>
      </c>
    </row>
    <row r="23" spans="2:13" s="5" customFormat="1" ht="14.1" customHeight="1">
      <c r="B23" s="5" t="s">
        <v>285</v>
      </c>
      <c r="C23" s="57"/>
      <c r="D23" s="80"/>
      <c r="E23" s="66"/>
      <c r="F23" s="66">
        <v>1500</v>
      </c>
      <c r="G23" s="71" t="s">
        <v>128</v>
      </c>
      <c r="H23" s="40"/>
      <c r="J23" s="74">
        <f>INDEX(MASTER!$C$25:$F$42,MATCH($G23,allocation,0),MATCH(J$22,MASTER!$C$24:$F$24,0))</f>
        <v>0.33</v>
      </c>
      <c r="K23" s="74">
        <f>INDEX(MASTER!$C$25:$F$42,MATCH($G23,allocation,0),MATCH(K$22,MASTER!$C$24:$F$24,0))</f>
        <v>0.34</v>
      </c>
      <c r="L23" s="74">
        <f>INDEX(MASTER!$C$25:$F$42,MATCH($G23,allocation,0),MATCH(L$22,MASTER!$C$24:$F$24,0))</f>
        <v>0.33</v>
      </c>
      <c r="M23" s="74">
        <f>INDEX(MASTER!$C$25:$F$42,MATCH($G23,allocation,0),MATCH(M$22,MASTER!$C$24:$F$24,0))</f>
        <v>0</v>
      </c>
    </row>
    <row r="24" spans="2:13" s="5" customFormat="1" ht="14.1" customHeight="1">
      <c r="B24" s="5" t="s">
        <v>286</v>
      </c>
      <c r="C24" s="57"/>
      <c r="D24" s="80"/>
      <c r="E24" s="66"/>
      <c r="F24" s="66">
        <v>3000</v>
      </c>
      <c r="G24" s="81" t="s">
        <v>128</v>
      </c>
      <c r="H24" s="40"/>
      <c r="J24" s="74"/>
      <c r="K24" s="74"/>
      <c r="L24" s="74"/>
      <c r="M24" s="74"/>
    </row>
    <row r="25" spans="2:13" s="5" customFormat="1" ht="14.1" customHeight="1">
      <c r="B25" s="5" t="s">
        <v>287</v>
      </c>
      <c r="C25" s="57"/>
      <c r="D25" s="80"/>
      <c r="E25" s="66"/>
      <c r="F25" s="66">
        <v>2000</v>
      </c>
      <c r="G25" s="81" t="s">
        <v>128</v>
      </c>
      <c r="H25" s="40"/>
      <c r="J25" s="74"/>
      <c r="K25" s="74"/>
      <c r="L25" s="74"/>
      <c r="M25" s="74"/>
    </row>
    <row r="26" spans="2:13" s="5" customFormat="1" ht="14.1" customHeight="1" thickBot="1">
      <c r="B26" s="49" t="s">
        <v>10</v>
      </c>
      <c r="C26" s="49"/>
      <c r="D26" s="49"/>
      <c r="E26" s="49"/>
      <c r="F26" s="50">
        <f>SUM(F23:F25)</f>
        <v>6500</v>
      </c>
      <c r="G26" s="49"/>
      <c r="H26" s="40"/>
    </row>
    <row r="27" spans="2:13" s="5" customFormat="1" ht="14.1" customHeight="1" thickTop="1">
      <c r="B27" s="40"/>
      <c r="C27" s="41"/>
      <c r="G27" s="40"/>
      <c r="H27" s="40"/>
    </row>
    <row r="28" spans="2:13" s="5" customFormat="1" ht="14.1" customHeight="1">
      <c r="B28" s="41" t="s">
        <v>11</v>
      </c>
      <c r="C28" s="35">
        <f>ROUNDUP($F$26,-$B$29)</f>
        <v>7000</v>
      </c>
      <c r="F28" s="40"/>
      <c r="G28" s="40"/>
      <c r="H28" s="40"/>
    </row>
    <row r="29" spans="2:13" s="5" customFormat="1" ht="14.1" customHeight="1">
      <c r="B29" s="51">
        <v>3</v>
      </c>
      <c r="C29" s="41"/>
      <c r="D29" s="40"/>
      <c r="E29" s="40"/>
      <c r="F29" s="40"/>
      <c r="G29" s="40"/>
      <c r="H29" s="40"/>
    </row>
    <row r="30" spans="2:13" s="5" customFormat="1" ht="14.1" customHeight="1">
      <c r="B30" s="40"/>
      <c r="C30" s="41"/>
      <c r="D30" s="40"/>
      <c r="E30" s="40"/>
      <c r="F30" s="40"/>
      <c r="G30" s="40"/>
      <c r="H30" s="40"/>
    </row>
    <row r="31" spans="2:13" s="5" customFormat="1" ht="14.1" customHeight="1">
      <c r="B31" s="40"/>
      <c r="C31" s="41"/>
      <c r="D31" s="40"/>
      <c r="E31" s="53" t="s">
        <v>12</v>
      </c>
      <c r="F31" s="54" t="s">
        <v>13</v>
      </c>
      <c r="G31" s="54" t="s">
        <v>14</v>
      </c>
      <c r="H31" s="55" t="s">
        <v>15</v>
      </c>
    </row>
    <row r="32" spans="2:13" s="5" customFormat="1" ht="14.1" customHeight="1">
      <c r="B32" s="36"/>
      <c r="C32" s="36"/>
      <c r="D32" s="36"/>
      <c r="E32" s="53" t="str">
        <f>"FY "&amp;MASTER!$B$4-1&amp;" - "&amp;MASTER!$B$4</f>
        <v>FY 2020 - 2021</v>
      </c>
      <c r="F32" s="56">
        <f>MASTER!$B$6</f>
        <v>44255</v>
      </c>
      <c r="G32" s="54" t="str">
        <f>"June "&amp;MASTER!$B$4</f>
        <v>June 2021</v>
      </c>
      <c r="H32" s="55" t="str">
        <f>"FY "&amp;MASTER!$B$4&amp;" - "&amp;MASTER!$B$5</f>
        <v>FY 2021 - 2022</v>
      </c>
    </row>
    <row r="33" spans="2:8" s="5" customFormat="1" ht="14.1" customHeight="1">
      <c r="B33" s="57"/>
      <c r="C33" s="57"/>
      <c r="D33" s="58"/>
      <c r="E33" s="59"/>
      <c r="F33" s="60"/>
      <c r="G33" s="60"/>
      <c r="H33" s="58"/>
    </row>
    <row r="34" spans="2:8" s="5" customFormat="1" ht="14.1" customHeight="1">
      <c r="B34" s="40" t="str">
        <f>$D$5</f>
        <v>Legal Notices Publication</v>
      </c>
      <c r="C34" s="41"/>
      <c r="D34" s="58"/>
      <c r="E34" s="61">
        <v>7000</v>
      </c>
      <c r="F34" s="62">
        <v>637</v>
      </c>
      <c r="G34" s="62">
        <v>1500</v>
      </c>
      <c r="H34" s="63">
        <f>$C$28</f>
        <v>7000</v>
      </c>
    </row>
    <row r="35" spans="2:8" s="5" customFormat="1" ht="14.1" customHeight="1">
      <c r="B35" s="40"/>
      <c r="C35" s="41"/>
      <c r="D35" s="58"/>
      <c r="E35" s="59"/>
      <c r="F35" s="59"/>
      <c r="G35" s="58"/>
      <c r="H35" s="82"/>
    </row>
    <row r="36" spans="2:8" s="5" customFormat="1" ht="14.1" customHeight="1">
      <c r="B36" s="40"/>
      <c r="C36" s="41"/>
      <c r="D36" s="58"/>
      <c r="E36" s="58"/>
      <c r="F36" s="58"/>
      <c r="G36" s="58"/>
      <c r="H36" s="63"/>
    </row>
    <row r="37" spans="2:8" s="5" customFormat="1" ht="14.1" customHeight="1">
      <c r="B37" s="2"/>
      <c r="C37" s="1"/>
    </row>
    <row r="38" spans="2:8" s="5" customFormat="1" ht="14.1" customHeight="1">
      <c r="B38" s="36" t="s">
        <v>39</v>
      </c>
      <c r="C38" s="36"/>
      <c r="D38" s="55" t="s">
        <v>40</v>
      </c>
      <c r="E38" s="55" t="s">
        <v>41</v>
      </c>
    </row>
    <row r="39" spans="2:8" s="5" customFormat="1" ht="14.1" customHeight="1">
      <c r="B39" s="75" t="s">
        <v>32</v>
      </c>
      <c r="C39" s="84">
        <f>E39/E43</f>
        <v>0.33</v>
      </c>
      <c r="D39" s="78">
        <f>SUMPRODUCT($F$23:$F$25,$J$23:$J$25)</f>
        <v>495</v>
      </c>
      <c r="E39" s="78">
        <f>$D39+($C$28-SUM($D$39:$D$42))*($D39/$D$43)</f>
        <v>2310</v>
      </c>
    </row>
    <row r="40" spans="2:8" s="5" customFormat="1" ht="14.1" customHeight="1">
      <c r="B40" s="75" t="s">
        <v>33</v>
      </c>
      <c r="C40" s="84">
        <f>E40/E43</f>
        <v>0.34000000000000008</v>
      </c>
      <c r="D40" s="78">
        <f>SUMPRODUCT($F$23:$F$25,$K$23:$K$25)</f>
        <v>510.00000000000006</v>
      </c>
      <c r="E40" s="78">
        <f>$D40+($C$28-SUM($D$39:$D$42))*($D40/$D$43)</f>
        <v>2380.0000000000005</v>
      </c>
    </row>
    <row r="41" spans="2:8" s="5" customFormat="1" ht="14.1" customHeight="1">
      <c r="B41" s="75" t="s">
        <v>34</v>
      </c>
      <c r="C41" s="84">
        <f>E41/E43</f>
        <v>0.33</v>
      </c>
      <c r="D41" s="78">
        <f>SUMPRODUCT($F$23:$F$25,$L$23:$L$25)</f>
        <v>495</v>
      </c>
      <c r="E41" s="78">
        <f>$D41+($C$28-SUM($D$39:$D$42))*($D41/$D$43)</f>
        <v>2310</v>
      </c>
    </row>
    <row r="42" spans="2:8" s="5" customFormat="1" ht="14.1" customHeight="1">
      <c r="B42" s="75" t="s">
        <v>35</v>
      </c>
      <c r="C42" s="84">
        <f>E42/E43</f>
        <v>0</v>
      </c>
      <c r="D42" s="78">
        <f>SUMPRODUCT($F$23:$F$25,$M$23:$M$25)</f>
        <v>0</v>
      </c>
      <c r="E42" s="78">
        <f>$D42+($C$28-SUM($D$39:$D$42))*($D42/$D$43)</f>
        <v>0</v>
      </c>
    </row>
    <row r="43" spans="2:8" s="5" customFormat="1" ht="12.75" customHeight="1">
      <c r="B43" s="77" t="s">
        <v>10</v>
      </c>
      <c r="C43" s="85">
        <f>SUM(C39:C42)</f>
        <v>1.0000000000000002</v>
      </c>
      <c r="D43" s="79">
        <f>SUM(D39:D42)</f>
        <v>1500</v>
      </c>
      <c r="E43" s="79">
        <f>SUM(E39:E42)</f>
        <v>7000</v>
      </c>
    </row>
    <row r="44" spans="2:8" s="5" customFormat="1" ht="12.75" customHeight="1">
      <c r="B44" s="2"/>
      <c r="C44" s="2"/>
      <c r="D44" s="2"/>
      <c r="E44" s="76"/>
    </row>
    <row r="45" spans="2:8" s="5" customFormat="1" ht="12.75" customHeight="1">
      <c r="E45" s="20"/>
      <c r="F45" s="6"/>
    </row>
    <row r="46" spans="2:8" s="5" customFormat="1" ht="12.75" customHeight="1">
      <c r="E46" s="20"/>
    </row>
    <row r="47" spans="2:8" s="5" customFormat="1" ht="12.75" customHeight="1">
      <c r="D47" s="21"/>
      <c r="E47" s="20"/>
    </row>
    <row r="48" spans="2:8" s="5" customFormat="1" ht="12.75" customHeight="1">
      <c r="D48" s="21"/>
      <c r="E48" s="20"/>
    </row>
    <row r="49" spans="4:253" s="5" customFormat="1" ht="12.75" customHeight="1">
      <c r="E49" s="20"/>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row>
    <row r="50" spans="4:253" s="5" customFormat="1" ht="12.75" customHeight="1">
      <c r="D50" s="21"/>
      <c r="E50" s="20"/>
    </row>
    <row r="51" spans="4:253" s="5" customFormat="1" ht="12.75" customHeight="1">
      <c r="E51" s="20"/>
    </row>
    <row r="52" spans="4:253" ht="12.75" customHeight="1">
      <c r="E52" s="20"/>
    </row>
    <row r="53" spans="4:253" ht="12.75" customHeight="1">
      <c r="E53" s="4"/>
    </row>
    <row r="54" spans="4:253">
      <c r="E54" s="3"/>
    </row>
    <row r="66" spans="4:5">
      <c r="D66" s="3"/>
      <c r="E66" s="3"/>
    </row>
  </sheetData>
  <mergeCells count="4">
    <mergeCell ref="E4:F4"/>
    <mergeCell ref="D5:G5"/>
    <mergeCell ref="B13:H14"/>
    <mergeCell ref="B17:H18"/>
  </mergeCells>
  <dataValidations count="2">
    <dataValidation type="list" allowBlank="1" showInputMessage="1" showErrorMessage="1" sqref="G23:G25" xr:uid="{00000000-0002-0000-3B00-000000000000}">
      <formula1>allocation</formula1>
    </dataValidation>
    <dataValidation type="list" allowBlank="1" showInputMessage="1" showErrorMessage="1" sqref="E4" xr:uid="{00000000-0002-0000-3B00-000001000000}">
      <formula1>enterprise</formula1>
    </dataValidation>
  </dataValidations>
  <pageMargins left="0.7" right="0.7" top="0.75" bottom="0.75" header="0.3" footer="0.3"/>
  <pageSetup scale="94" fitToHeight="0"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0">
    <pageSetUpPr fitToPage="1"/>
  </sheetPr>
  <dimension ref="B2:IS72"/>
  <sheetViews>
    <sheetView topLeftCell="A6" workbookViewId="0">
      <selection activeCell="H27" sqref="H27"/>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E40</f>
        <v>14000</v>
      </c>
      <c r="K2" s="120">
        <f t="shared" ref="K2:M2" si="0">F40</f>
        <v>0</v>
      </c>
      <c r="L2" s="120">
        <f t="shared" si="0"/>
        <v>5000</v>
      </c>
      <c r="M2" s="120">
        <f t="shared" si="0"/>
        <v>10000</v>
      </c>
    </row>
    <row r="3" spans="2:13" ht="14.1" customHeight="1">
      <c r="B3" s="40"/>
      <c r="C3" s="40"/>
      <c r="D3" s="40"/>
      <c r="E3" s="40"/>
      <c r="F3" s="40"/>
      <c r="G3" s="40"/>
      <c r="H3" s="40"/>
      <c r="J3" s="121">
        <f>C45</f>
        <v>0.33000000000000007</v>
      </c>
      <c r="K3" s="121"/>
      <c r="L3" s="121"/>
      <c r="M3" s="121"/>
    </row>
    <row r="4" spans="2:13" ht="23.25" customHeight="1">
      <c r="B4" s="40"/>
      <c r="C4" s="40"/>
      <c r="D4" s="40"/>
      <c r="E4" s="316" t="s">
        <v>118</v>
      </c>
      <c r="F4" s="316"/>
      <c r="G4" s="41"/>
      <c r="H4" s="40"/>
      <c r="J4" s="121">
        <f t="shared" ref="J4:J6" si="1">C46</f>
        <v>0.34</v>
      </c>
    </row>
    <row r="5" spans="2:13" ht="14.1" customHeight="1">
      <c r="B5" s="42"/>
      <c r="C5" s="42"/>
      <c r="D5" s="312" t="str">
        <f>'Operating Budget'!B86</f>
        <v>Public Information &amp; Outreach</v>
      </c>
      <c r="E5" s="312"/>
      <c r="F5" s="312"/>
      <c r="G5" s="312"/>
      <c r="H5" s="43"/>
      <c r="J5" s="121">
        <f t="shared" si="1"/>
        <v>0.33000000000000007</v>
      </c>
    </row>
    <row r="6" spans="2:13" ht="19.5" customHeight="1">
      <c r="B6" s="40"/>
      <c r="C6" s="40"/>
      <c r="D6" s="40"/>
      <c r="E6" s="40"/>
      <c r="H6" s="40"/>
      <c r="J6" s="121">
        <f t="shared" si="1"/>
        <v>0</v>
      </c>
    </row>
    <row r="7" spans="2:13" ht="14.1" hidden="1" customHeight="1">
      <c r="B7" s="40"/>
      <c r="C7" s="40"/>
      <c r="D7" s="40"/>
      <c r="E7" s="40"/>
      <c r="F7" s="44"/>
      <c r="G7" s="44"/>
      <c r="H7" s="40"/>
    </row>
    <row r="8" spans="2:13" ht="14.1" customHeight="1">
      <c r="B8" s="41" t="s">
        <v>2</v>
      </c>
      <c r="C8" s="40">
        <f>'Operating Budget'!C86</f>
        <v>5650</v>
      </c>
      <c r="D8" s="40"/>
      <c r="E8" s="40"/>
      <c r="F8" s="40"/>
      <c r="G8" s="40"/>
      <c r="H8" s="40"/>
    </row>
    <row r="9" spans="2:13" ht="14.1" customHeight="1">
      <c r="B9" s="41" t="s">
        <v>3</v>
      </c>
      <c r="C9" s="40">
        <f>INDEX('Operating Budget'!$A$11:$A$107,MATCH('54'!C8,'Operating Budget'!C11:C107))</f>
        <v>54</v>
      </c>
      <c r="D9" s="40"/>
      <c r="E9" s="40"/>
      <c r="F9" s="40"/>
      <c r="G9" s="40"/>
      <c r="H9" s="40"/>
    </row>
    <row r="10" spans="2:13" ht="14.1" customHeight="1">
      <c r="B10" s="40"/>
      <c r="C10" s="40"/>
      <c r="D10" s="40"/>
      <c r="E10" s="40"/>
      <c r="F10" s="202"/>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288</v>
      </c>
      <c r="C13" s="319"/>
      <c r="D13" s="319"/>
      <c r="E13" s="319"/>
      <c r="F13" s="319"/>
      <c r="G13" s="319"/>
      <c r="H13" s="319"/>
    </row>
    <row r="14" spans="2:13" ht="14.1" hidden="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t="s">
        <v>43</v>
      </c>
      <c r="C17" s="319"/>
      <c r="D17" s="319"/>
      <c r="E17" s="319"/>
      <c r="F17" s="319"/>
      <c r="G17" s="319"/>
      <c r="H17" s="319"/>
    </row>
    <row r="18" spans="2:13" ht="14.1" customHeight="1">
      <c r="B18" s="319"/>
      <c r="C18" s="319"/>
      <c r="D18" s="319"/>
      <c r="E18" s="319"/>
      <c r="F18" s="319"/>
      <c r="G18" s="319"/>
      <c r="H18" s="319"/>
    </row>
    <row r="19" spans="2:13" ht="14.1" customHeight="1">
      <c r="B19" s="310"/>
      <c r="C19" s="310"/>
      <c r="D19" s="310"/>
      <c r="E19" s="310"/>
      <c r="F19" s="310"/>
      <c r="G19" s="310"/>
      <c r="H19" s="310"/>
    </row>
    <row r="20" spans="2:13" s="5" customFormat="1" ht="14.1" customHeight="1">
      <c r="B20" s="36" t="s">
        <v>7</v>
      </c>
      <c r="C20" s="37"/>
      <c r="D20" s="37"/>
      <c r="E20" s="37"/>
      <c r="F20" s="37"/>
      <c r="G20" s="37"/>
      <c r="H20" s="38"/>
    </row>
    <row r="21" spans="2:13" s="5" customFormat="1" ht="14.1" customHeight="1">
      <c r="B21" s="40"/>
      <c r="C21" s="41"/>
      <c r="D21" s="40"/>
      <c r="E21" s="40"/>
      <c r="F21" s="40"/>
      <c r="G21" s="40"/>
      <c r="H21" s="40"/>
    </row>
    <row r="22" spans="2:13" s="5" customFormat="1" ht="14.1" customHeight="1">
      <c r="B22" s="67" t="str">
        <f>$D$5</f>
        <v>Public Information &amp; Outreach</v>
      </c>
      <c r="C22" s="67"/>
      <c r="D22" s="68"/>
      <c r="E22" s="68"/>
      <c r="F22" s="68" t="s">
        <v>10</v>
      </c>
      <c r="G22" s="69" t="s">
        <v>31</v>
      </c>
      <c r="H22" s="40"/>
      <c r="J22" s="73" t="s">
        <v>32</v>
      </c>
      <c r="K22" s="73" t="s">
        <v>33</v>
      </c>
      <c r="L22" s="73" t="s">
        <v>34</v>
      </c>
      <c r="M22" s="73" t="s">
        <v>35</v>
      </c>
    </row>
    <row r="23" spans="2:13" s="5" customFormat="1" ht="14.1" customHeight="1">
      <c r="B23" s="5" t="s">
        <v>289</v>
      </c>
      <c r="C23" s="57"/>
      <c r="D23" s="80"/>
      <c r="E23" s="66"/>
      <c r="F23" s="66">
        <v>180</v>
      </c>
      <c r="G23" s="71" t="s">
        <v>128</v>
      </c>
      <c r="H23" s="40"/>
      <c r="J23" s="74">
        <f>INDEX(MASTER!$C$25:$F$42,MATCH($G23,allocation,0),MATCH(J$22,MASTER!$C$24:$F$24,0))</f>
        <v>0.33</v>
      </c>
      <c r="K23" s="74">
        <f>INDEX(MASTER!$C$25:$F$42,MATCH($G23,allocation,0),MATCH(K$22,MASTER!$C$24:$F$24,0))</f>
        <v>0.34</v>
      </c>
      <c r="L23" s="74">
        <f>INDEX(MASTER!$C$25:$F$42,MATCH($G23,allocation,0),MATCH(L$22,MASTER!$C$24:$F$24,0))</f>
        <v>0.33</v>
      </c>
      <c r="M23" s="74">
        <f>INDEX(MASTER!$C$25:$F$42,MATCH($G23,allocation,0),MATCH(M$22,MASTER!$C$24:$F$24,0))</f>
        <v>0</v>
      </c>
    </row>
    <row r="24" spans="2:13" s="5" customFormat="1" ht="14.1" hidden="1" customHeight="1">
      <c r="B24" s="5" t="s">
        <v>290</v>
      </c>
      <c r="C24" s="57"/>
      <c r="D24" s="80"/>
      <c r="E24" s="66"/>
      <c r="F24" s="66">
        <v>0</v>
      </c>
      <c r="G24" s="81" t="s">
        <v>128</v>
      </c>
      <c r="H24" s="40"/>
      <c r="J24" s="74"/>
      <c r="K24" s="74"/>
      <c r="L24" s="74"/>
      <c r="M24" s="74"/>
    </row>
    <row r="25" spans="2:13" s="5" customFormat="1" ht="14.1" customHeight="1">
      <c r="B25" s="5" t="s">
        <v>291</v>
      </c>
      <c r="C25" s="57"/>
      <c r="D25" s="80"/>
      <c r="E25" s="66"/>
      <c r="F25" s="66">
        <v>1400</v>
      </c>
      <c r="G25" s="81" t="s">
        <v>128</v>
      </c>
      <c r="H25" s="40"/>
      <c r="J25" s="74"/>
      <c r="K25" s="74"/>
      <c r="L25" s="74"/>
      <c r="M25" s="74"/>
    </row>
    <row r="26" spans="2:13" s="5" customFormat="1" ht="14.1" customHeight="1">
      <c r="B26" s="5" t="s">
        <v>292</v>
      </c>
      <c r="C26" s="57"/>
      <c r="D26" s="80"/>
      <c r="E26" s="66"/>
      <c r="F26" s="66">
        <v>3000</v>
      </c>
      <c r="G26" s="81" t="s">
        <v>128</v>
      </c>
      <c r="H26" s="40"/>
      <c r="J26" s="74"/>
      <c r="K26" s="74"/>
      <c r="L26" s="74"/>
      <c r="M26" s="74"/>
    </row>
    <row r="27" spans="2:13" s="5" customFormat="1" ht="14.1" customHeight="1">
      <c r="B27" s="5" t="s">
        <v>293</v>
      </c>
      <c r="C27" s="57"/>
      <c r="D27" s="80"/>
      <c r="E27" s="66"/>
      <c r="F27" s="66">
        <v>800</v>
      </c>
      <c r="G27" s="81" t="s">
        <v>128</v>
      </c>
      <c r="H27" s="40"/>
      <c r="J27" s="74"/>
      <c r="K27" s="74"/>
      <c r="L27" s="74"/>
      <c r="M27" s="74"/>
    </row>
    <row r="28" spans="2:13" s="5" customFormat="1" ht="14.1" hidden="1" customHeight="1">
      <c r="B28" s="5" t="s">
        <v>294</v>
      </c>
      <c r="C28" s="57"/>
      <c r="D28" s="80"/>
      <c r="E28" s="66"/>
      <c r="F28" s="66">
        <v>0</v>
      </c>
      <c r="G28" s="81" t="s">
        <v>128</v>
      </c>
      <c r="H28" s="40"/>
      <c r="J28" s="74"/>
      <c r="K28" s="74"/>
      <c r="L28" s="74"/>
      <c r="M28" s="74"/>
    </row>
    <row r="29" spans="2:13" s="5" customFormat="1" ht="14.1" customHeight="1">
      <c r="B29" s="5" t="s">
        <v>295</v>
      </c>
      <c r="C29" s="57"/>
      <c r="D29" s="80"/>
      <c r="E29" s="66"/>
      <c r="F29" s="66">
        <v>0</v>
      </c>
      <c r="G29" s="81" t="s">
        <v>128</v>
      </c>
      <c r="H29" s="40"/>
      <c r="J29" s="74"/>
      <c r="K29" s="74"/>
      <c r="L29" s="74"/>
      <c r="M29" s="74"/>
    </row>
    <row r="30" spans="2:13" s="5" customFormat="1" ht="14.1" customHeight="1">
      <c r="B30" s="5" t="s">
        <v>296</v>
      </c>
      <c r="C30" s="57"/>
      <c r="D30" s="80"/>
      <c r="E30" s="66"/>
      <c r="F30" s="66">
        <v>2500</v>
      </c>
      <c r="G30" s="81" t="s">
        <v>128</v>
      </c>
      <c r="H30" s="40"/>
      <c r="J30" s="74"/>
      <c r="K30" s="74"/>
      <c r="L30" s="74"/>
      <c r="M30" s="74"/>
    </row>
    <row r="31" spans="2:13" s="5" customFormat="1" ht="14.1" customHeight="1">
      <c r="B31" s="5" t="s">
        <v>297</v>
      </c>
      <c r="C31" s="57"/>
      <c r="D31" s="80"/>
      <c r="E31" s="66"/>
      <c r="F31" s="66">
        <v>1600</v>
      </c>
      <c r="G31" s="81" t="s">
        <v>128</v>
      </c>
      <c r="H31" s="40"/>
      <c r="J31" s="74"/>
      <c r="K31" s="74"/>
      <c r="L31" s="74"/>
      <c r="M31" s="74"/>
    </row>
    <row r="32" spans="2:13" s="5" customFormat="1" ht="14.1" customHeight="1" thickBot="1">
      <c r="B32" s="49" t="s">
        <v>10</v>
      </c>
      <c r="C32" s="49"/>
      <c r="D32" s="49"/>
      <c r="E32" s="49"/>
      <c r="F32" s="50">
        <f>SUM(F23:F31)</f>
        <v>9480</v>
      </c>
      <c r="G32" s="49"/>
      <c r="H32" s="40"/>
    </row>
    <row r="33" spans="2:13" s="5" customFormat="1" ht="14.1" customHeight="1" thickTop="1">
      <c r="B33" s="40"/>
      <c r="C33" s="41"/>
      <c r="G33" s="40"/>
      <c r="H33" s="40"/>
    </row>
    <row r="34" spans="2:13" s="5" customFormat="1" ht="14.1" customHeight="1">
      <c r="B34" s="41" t="s">
        <v>11</v>
      </c>
      <c r="C34" s="35">
        <f>ROUNDUP($F$32,-$B$35)</f>
        <v>10000</v>
      </c>
      <c r="F34" s="40" t="s">
        <v>114</v>
      </c>
      <c r="G34" s="40"/>
      <c r="H34" s="40"/>
    </row>
    <row r="35" spans="2:13" s="5" customFormat="1" ht="14.1" customHeight="1">
      <c r="B35" s="51">
        <v>3</v>
      </c>
      <c r="C35" s="41"/>
      <c r="D35" s="40"/>
      <c r="E35" s="40"/>
      <c r="F35" s="40"/>
      <c r="G35" s="40"/>
      <c r="H35" s="40"/>
    </row>
    <row r="36" spans="2:13" s="5" customFormat="1" ht="14.1" customHeight="1">
      <c r="B36" s="40"/>
      <c r="C36" s="41"/>
      <c r="D36" s="40"/>
      <c r="E36" s="40"/>
      <c r="F36" s="40"/>
      <c r="G36" s="40"/>
      <c r="H36" s="40"/>
    </row>
    <row r="37" spans="2:13" s="5" customFormat="1" ht="14.1" customHeight="1">
      <c r="B37" s="40"/>
      <c r="C37" s="41"/>
      <c r="D37" s="40"/>
      <c r="E37" s="53" t="s">
        <v>12</v>
      </c>
      <c r="F37" s="54" t="s">
        <v>13</v>
      </c>
      <c r="G37" s="54" t="s">
        <v>14</v>
      </c>
      <c r="H37" s="55" t="s">
        <v>15</v>
      </c>
    </row>
    <row r="38" spans="2:13" s="5" customFormat="1" ht="14.1" customHeight="1">
      <c r="B38" s="36"/>
      <c r="C38" s="36"/>
      <c r="D38" s="36"/>
      <c r="E38" s="53" t="str">
        <f>"FY "&amp;MASTER!$B$4-1&amp;" - "&amp;MASTER!$B$4</f>
        <v>FY 2020 - 2021</v>
      </c>
      <c r="F38" s="56">
        <f>MASTER!$B$6</f>
        <v>44255</v>
      </c>
      <c r="G38" s="54" t="str">
        <f>"June "&amp;MASTER!$B$4</f>
        <v>June 2021</v>
      </c>
      <c r="H38" s="55" t="str">
        <f>"FY "&amp;MASTER!$B$4&amp;" - "&amp;MASTER!$B$5</f>
        <v>FY 2021 - 2022</v>
      </c>
      <c r="M38" s="182"/>
    </row>
    <row r="39" spans="2:13" s="5" customFormat="1" ht="14.1" customHeight="1">
      <c r="B39" s="57"/>
      <c r="C39" s="57"/>
      <c r="D39" s="58"/>
      <c r="E39" s="59"/>
      <c r="F39" s="60"/>
      <c r="G39" s="60"/>
      <c r="H39" s="58"/>
      <c r="M39" s="182"/>
    </row>
    <row r="40" spans="2:13" s="5" customFormat="1" ht="14.1" customHeight="1">
      <c r="B40" s="40" t="str">
        <f>$D$5</f>
        <v>Public Information &amp; Outreach</v>
      </c>
      <c r="C40" s="41"/>
      <c r="D40" s="58"/>
      <c r="E40" s="61">
        <v>14000</v>
      </c>
      <c r="F40" s="62">
        <v>0</v>
      </c>
      <c r="G40" s="62">
        <v>5000</v>
      </c>
      <c r="H40" s="63">
        <f>$C$34</f>
        <v>10000</v>
      </c>
      <c r="M40" s="182"/>
    </row>
    <row r="41" spans="2:13" s="5" customFormat="1" ht="14.1" customHeight="1">
      <c r="B41" s="40"/>
      <c r="C41" s="41"/>
      <c r="D41" s="58"/>
      <c r="E41" s="59"/>
      <c r="F41" s="59"/>
      <c r="G41" s="58"/>
      <c r="H41" s="82"/>
      <c r="M41" s="182"/>
    </row>
    <row r="42" spans="2:13" s="5" customFormat="1" ht="14.1" customHeight="1">
      <c r="B42" s="40"/>
      <c r="C42" s="41"/>
      <c r="D42" s="58"/>
      <c r="E42" s="58"/>
      <c r="F42" s="58"/>
      <c r="G42" s="58"/>
      <c r="H42" s="63"/>
      <c r="M42" s="182"/>
    </row>
    <row r="43" spans="2:13" s="5" customFormat="1" ht="14.1" customHeight="1">
      <c r="B43" s="2"/>
      <c r="C43" s="1"/>
      <c r="M43" s="182"/>
    </row>
    <row r="44" spans="2:13" s="5" customFormat="1" ht="14.1" customHeight="1">
      <c r="B44" s="36" t="s">
        <v>39</v>
      </c>
      <c r="C44" s="36"/>
      <c r="D44" s="55" t="s">
        <v>40</v>
      </c>
      <c r="E44" s="55" t="s">
        <v>41</v>
      </c>
      <c r="M44" s="182"/>
    </row>
    <row r="45" spans="2:13" s="5" customFormat="1" ht="14.1" customHeight="1">
      <c r="B45" s="75" t="s">
        <v>32</v>
      </c>
      <c r="C45" s="84">
        <f>E45/E49</f>
        <v>0.33000000000000007</v>
      </c>
      <c r="D45" s="78">
        <f>SUMPRODUCT($F$23:$F$31,$J$23:$J$31)</f>
        <v>59.400000000000006</v>
      </c>
      <c r="E45" s="78">
        <f>$D45+($C$34-SUM($D$45:$D$48))*($D45/$D$49)</f>
        <v>3300.0000000000005</v>
      </c>
      <c r="M45" s="182"/>
    </row>
    <row r="46" spans="2:13" s="5" customFormat="1" ht="14.1" customHeight="1">
      <c r="B46" s="75" t="s">
        <v>33</v>
      </c>
      <c r="C46" s="84">
        <f>E46/E49</f>
        <v>0.34</v>
      </c>
      <c r="D46" s="78">
        <f>SUMPRODUCT($F$23:$F$31,$K$23:$K$31)</f>
        <v>61.2</v>
      </c>
      <c r="E46" s="78">
        <f>$D46+($C$34-SUM($D$45:$D$48))*($D46/$D$49)</f>
        <v>3400</v>
      </c>
      <c r="M46" s="182"/>
    </row>
    <row r="47" spans="2:13" s="5" customFormat="1" ht="14.1" customHeight="1">
      <c r="B47" s="75" t="s">
        <v>34</v>
      </c>
      <c r="C47" s="84">
        <f>E47/E49</f>
        <v>0.33000000000000007</v>
      </c>
      <c r="D47" s="78">
        <f>SUMPRODUCT($F$23:$F$31,$L$23:$L$31)</f>
        <v>59.400000000000006</v>
      </c>
      <c r="E47" s="78">
        <f>$D47+($C$34-SUM($D$45:$D$48))*($D47/$D$49)</f>
        <v>3300.0000000000005</v>
      </c>
      <c r="M47" s="182"/>
    </row>
    <row r="48" spans="2:13" s="5" customFormat="1" ht="14.1" customHeight="1">
      <c r="B48" s="75" t="s">
        <v>35</v>
      </c>
      <c r="C48" s="84">
        <f>E48/E49</f>
        <v>0</v>
      </c>
      <c r="D48" s="78">
        <f>SUMPRODUCT($F$23:$F$31,$M$23:$M$31)</f>
        <v>0</v>
      </c>
      <c r="E48" s="78">
        <f>$D48+($C$34-SUM($D$45:$D$48))*($D48/$D$49)</f>
        <v>0</v>
      </c>
      <c r="M48" s="182"/>
    </row>
    <row r="49" spans="2:253" s="5" customFormat="1" ht="12.75" customHeight="1">
      <c r="B49" s="77" t="s">
        <v>10</v>
      </c>
      <c r="C49" s="85">
        <f>SUM(C45:C48)</f>
        <v>1.0000000000000002</v>
      </c>
      <c r="D49" s="79">
        <f>SUM(D45:D48)</f>
        <v>180</v>
      </c>
      <c r="E49" s="79">
        <f>SUM(E45:E48)</f>
        <v>10000</v>
      </c>
      <c r="M49" s="182"/>
    </row>
    <row r="50" spans="2:253" s="5" customFormat="1" ht="12.75" customHeight="1">
      <c r="B50" s="2"/>
      <c r="C50" s="2"/>
      <c r="D50" s="2"/>
      <c r="E50" s="76"/>
    </row>
    <row r="51" spans="2:253" s="5" customFormat="1" ht="12.75" customHeight="1">
      <c r="E51" s="20"/>
      <c r="F51" s="6"/>
    </row>
    <row r="52" spans="2:253" s="5" customFormat="1" ht="12.75" customHeight="1">
      <c r="E52" s="20"/>
    </row>
    <row r="53" spans="2:253" s="5" customFormat="1" ht="12.75" customHeight="1">
      <c r="D53" s="21"/>
      <c r="E53" s="20"/>
    </row>
    <row r="54" spans="2:253" s="5" customFormat="1" ht="12.75" customHeight="1">
      <c r="D54" s="21"/>
      <c r="E54" s="20"/>
    </row>
    <row r="55" spans="2:253" s="5" customFormat="1" ht="12.75" customHeight="1">
      <c r="E55" s="20"/>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row>
    <row r="56" spans="2:253" s="5" customFormat="1" ht="12.75" customHeight="1">
      <c r="D56" s="21"/>
      <c r="E56" s="20"/>
    </row>
    <row r="57" spans="2:253" s="5" customFormat="1" ht="12.75" customHeight="1">
      <c r="E57" s="20"/>
    </row>
    <row r="58" spans="2:253" ht="12.75" customHeight="1">
      <c r="E58" s="20"/>
    </row>
    <row r="59" spans="2:253" ht="12.75" customHeight="1">
      <c r="E59" s="4"/>
    </row>
    <row r="60" spans="2:253">
      <c r="E60" s="3"/>
    </row>
    <row r="72" spans="4:5">
      <c r="D72" s="3"/>
      <c r="E72" s="3"/>
    </row>
  </sheetData>
  <mergeCells count="4">
    <mergeCell ref="E4:F4"/>
    <mergeCell ref="D5:G5"/>
    <mergeCell ref="B13:H14"/>
    <mergeCell ref="B17:H18"/>
  </mergeCells>
  <dataValidations count="2">
    <dataValidation type="list" allowBlank="1" showInputMessage="1" showErrorMessage="1" sqref="E4" xr:uid="{00000000-0002-0000-3C00-000000000000}">
      <formula1>enterprise</formula1>
    </dataValidation>
    <dataValidation type="list" allowBlank="1" showInputMessage="1" showErrorMessage="1" sqref="G23:G31" xr:uid="{00000000-0002-0000-3C00-000001000000}">
      <formula1>allocation</formula1>
    </dataValidation>
  </dataValidations>
  <pageMargins left="0.7" right="0.7" top="0.75" bottom="0.75" header="0.3" footer="0.3"/>
  <pageSetup scale="94" fitToHeight="0"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1">
    <pageSetUpPr fitToPage="1"/>
  </sheetPr>
  <dimension ref="B2:IS64"/>
  <sheetViews>
    <sheetView topLeftCell="A32" workbookViewId="0">
      <selection activeCell="G26" sqref="G26"/>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E32</f>
        <v>90000</v>
      </c>
      <c r="K2" s="120">
        <f t="shared" ref="K2:M2" si="0">F32</f>
        <v>67492</v>
      </c>
      <c r="L2" s="120">
        <f t="shared" si="0"/>
        <v>90000</v>
      </c>
      <c r="M2" s="120">
        <f t="shared" si="0"/>
        <v>90000</v>
      </c>
    </row>
    <row r="3" spans="2:13" ht="14.1" customHeight="1">
      <c r="B3" s="40"/>
      <c r="C3" s="40"/>
      <c r="D3" s="40"/>
      <c r="E3" s="40"/>
      <c r="F3" s="40"/>
      <c r="G3" s="40"/>
      <c r="H3" s="40"/>
      <c r="J3" s="121">
        <f>C37</f>
        <v>0.35</v>
      </c>
      <c r="K3" s="121"/>
      <c r="L3" s="121"/>
      <c r="M3" s="121"/>
    </row>
    <row r="4" spans="2:13" ht="23.25" customHeight="1">
      <c r="B4" s="40"/>
      <c r="C4" s="40"/>
      <c r="D4" s="40"/>
      <c r="E4" s="316" t="s">
        <v>298</v>
      </c>
      <c r="F4" s="316"/>
      <c r="G4" s="41"/>
      <c r="H4" s="40"/>
      <c r="J4" s="121">
        <f t="shared" ref="J4:J6" si="1">C38</f>
        <v>0.55000000000000004</v>
      </c>
    </row>
    <row r="5" spans="2:13" ht="14.1" customHeight="1">
      <c r="B5" s="42"/>
      <c r="C5" s="42"/>
      <c r="D5" s="312" t="str">
        <f>'Operating Budget'!B94</f>
        <v>Interest Earnings</v>
      </c>
      <c r="E5" s="312"/>
      <c r="F5" s="312"/>
      <c r="G5" s="312"/>
      <c r="H5" s="43"/>
      <c r="J5" s="121">
        <f t="shared" si="1"/>
        <v>0.1</v>
      </c>
    </row>
    <row r="6" spans="2:13" ht="19.5" customHeight="1">
      <c r="B6" s="40"/>
      <c r="C6" s="40"/>
      <c r="D6" s="40"/>
      <c r="E6" s="40"/>
      <c r="H6" s="40"/>
      <c r="J6" s="121">
        <f t="shared" si="1"/>
        <v>0</v>
      </c>
    </row>
    <row r="7" spans="2:13" ht="14.1" hidden="1" customHeight="1">
      <c r="B7" s="40"/>
      <c r="C7" s="40"/>
      <c r="D7" s="40"/>
      <c r="E7" s="40"/>
      <c r="F7" s="44"/>
      <c r="G7" s="44"/>
      <c r="H7" s="40"/>
    </row>
    <row r="8" spans="2:13" ht="14.1" customHeight="1">
      <c r="B8" s="41" t="s">
        <v>2</v>
      </c>
      <c r="C8" s="40">
        <f>'Operating Budget'!C94</f>
        <v>6100</v>
      </c>
      <c r="D8" s="40"/>
      <c r="E8" s="40"/>
      <c r="F8" s="202"/>
      <c r="G8" s="40"/>
      <c r="H8" s="40"/>
    </row>
    <row r="9" spans="2:13" ht="14.1" customHeight="1">
      <c r="B9" s="41" t="s">
        <v>3</v>
      </c>
      <c r="C9" s="139">
        <f>INDEX('Operating Budget'!$A$12:$A$106,MATCH($B$32,'Operating Budget'!$B$12:$B$106,0))</f>
        <v>55</v>
      </c>
      <c r="D9" s="40"/>
      <c r="E9" s="202"/>
      <c r="F9" s="40"/>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299</v>
      </c>
      <c r="C13" s="319"/>
      <c r="D13" s="319"/>
      <c r="E13" s="319"/>
      <c r="F13" s="319"/>
      <c r="G13" s="319"/>
      <c r="H13" s="319"/>
    </row>
    <row r="14" spans="2:13" ht="14.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t="s">
        <v>300</v>
      </c>
      <c r="C17" s="319"/>
      <c r="D17" s="319"/>
      <c r="E17" s="319"/>
      <c r="F17" s="319"/>
      <c r="G17" s="319"/>
      <c r="H17" s="319"/>
    </row>
    <row r="18" spans="2:13" ht="14.1" hidden="1" customHeight="1">
      <c r="B18" s="319"/>
      <c r="C18" s="319"/>
      <c r="D18" s="319"/>
      <c r="E18" s="319"/>
      <c r="F18" s="319"/>
      <c r="G18" s="319"/>
      <c r="H18" s="319"/>
    </row>
    <row r="19" spans="2:13" ht="14.1" customHeight="1">
      <c r="B19" s="310"/>
      <c r="C19" s="310"/>
      <c r="D19" s="310"/>
      <c r="E19" s="310"/>
      <c r="F19" s="310"/>
      <c r="G19" s="310"/>
      <c r="H19" s="310"/>
    </row>
    <row r="20" spans="2:13" s="5" customFormat="1" ht="14.1" customHeight="1">
      <c r="B20" s="36" t="s">
        <v>7</v>
      </c>
      <c r="C20" s="37"/>
      <c r="D20" s="37"/>
      <c r="E20" s="37"/>
      <c r="F20" s="37"/>
      <c r="G20" s="37"/>
      <c r="H20" s="38"/>
    </row>
    <row r="21" spans="2:13" s="5" customFormat="1" ht="14.1" customHeight="1">
      <c r="B21" s="40"/>
      <c r="C21" s="41"/>
      <c r="D21" s="40"/>
      <c r="E21" s="40"/>
      <c r="F21" s="40"/>
      <c r="G21" s="40"/>
      <c r="H21" s="40"/>
    </row>
    <row r="22" spans="2:13" s="5" customFormat="1" ht="14.1" customHeight="1">
      <c r="B22" s="67" t="str">
        <f>$D$5</f>
        <v>Interest Earnings</v>
      </c>
      <c r="C22" s="67"/>
      <c r="D22" s="68"/>
      <c r="E22" s="68"/>
      <c r="F22" s="68" t="s">
        <v>10</v>
      </c>
      <c r="G22" s="69" t="s">
        <v>31</v>
      </c>
      <c r="H22" s="40"/>
      <c r="J22" s="73" t="s">
        <v>32</v>
      </c>
      <c r="K22" s="73" t="s">
        <v>33</v>
      </c>
      <c r="L22" s="73" t="s">
        <v>34</v>
      </c>
      <c r="M22" s="73" t="s">
        <v>35</v>
      </c>
    </row>
    <row r="23" spans="2:13" s="5" customFormat="1" ht="14.1" customHeight="1">
      <c r="B23" s="5" t="s">
        <v>301</v>
      </c>
      <c r="C23" s="57"/>
      <c r="D23" s="80"/>
      <c r="E23" s="66"/>
      <c r="F23" s="66">
        <v>90000</v>
      </c>
      <c r="G23" s="71" t="s">
        <v>301</v>
      </c>
      <c r="H23" s="40"/>
      <c r="J23" s="74">
        <f>INDEX(MASTER!$C$25:$F$42,MATCH($G23,allocation,0),MATCH(J$22,MASTER!$C$24:$F$24,0))</f>
        <v>0.35</v>
      </c>
      <c r="K23" s="74">
        <f>INDEX(MASTER!$C$25:$F$42,MATCH($G23,allocation,0),MATCH(K$22,MASTER!$C$24:$F$24,0))</f>
        <v>0.55000000000000004</v>
      </c>
      <c r="L23" s="74">
        <f>INDEX(MASTER!$C$25:$F$42,MATCH($G23,allocation,0),MATCH(L$22,MASTER!$C$24:$F$24,0))</f>
        <v>0.1</v>
      </c>
      <c r="M23" s="74">
        <f>INDEX(MASTER!$C$25:$F$42,MATCH($G23,allocation,0),MATCH(M$22,MASTER!$C$24:$F$24,0))</f>
        <v>0</v>
      </c>
    </row>
    <row r="24" spans="2:13" s="5" customFormat="1" ht="14.1" customHeight="1" thickBot="1">
      <c r="B24" s="49" t="s">
        <v>10</v>
      </c>
      <c r="C24" s="49"/>
      <c r="D24" s="49"/>
      <c r="E24" s="49"/>
      <c r="F24" s="50">
        <f>SUM(F23:F23)</f>
        <v>90000</v>
      </c>
      <c r="G24" s="49"/>
      <c r="H24" s="40"/>
    </row>
    <row r="25" spans="2:13" s="5" customFormat="1" ht="14.1" customHeight="1" thickTop="1">
      <c r="B25" s="40"/>
      <c r="C25" s="41"/>
      <c r="G25" s="40"/>
      <c r="H25" s="40"/>
    </row>
    <row r="26" spans="2:13" s="5" customFormat="1" ht="14.1" customHeight="1">
      <c r="B26" s="41" t="s">
        <v>11</v>
      </c>
      <c r="C26" s="35">
        <f>ROUNDUP($F$24,-$B$27)</f>
        <v>90000</v>
      </c>
      <c r="F26" s="40"/>
      <c r="G26" s="40"/>
      <c r="H26" s="40"/>
    </row>
    <row r="27" spans="2:13" s="5" customFormat="1" ht="14.1" customHeight="1">
      <c r="B27" s="51">
        <v>3</v>
      </c>
      <c r="C27" s="41"/>
      <c r="D27" s="40"/>
      <c r="E27" s="40"/>
      <c r="F27" s="40"/>
      <c r="G27" s="40"/>
      <c r="H27" s="40"/>
    </row>
    <row r="28" spans="2:13" s="5" customFormat="1" ht="14.1" customHeight="1">
      <c r="B28" s="40"/>
      <c r="C28" s="41"/>
      <c r="D28" s="40"/>
      <c r="E28" s="40"/>
      <c r="F28" s="40"/>
      <c r="G28" s="40"/>
      <c r="H28" s="40"/>
    </row>
    <row r="29" spans="2:13" s="5" customFormat="1" ht="14.1" customHeight="1">
      <c r="B29" s="40"/>
      <c r="C29" s="41"/>
      <c r="D29" s="40"/>
      <c r="E29" s="53" t="s">
        <v>12</v>
      </c>
      <c r="F29" s="54" t="s">
        <v>13</v>
      </c>
      <c r="G29" s="54" t="s">
        <v>14</v>
      </c>
      <c r="H29" s="55" t="s">
        <v>15</v>
      </c>
    </row>
    <row r="30" spans="2:13" s="5" customFormat="1" ht="14.1" customHeight="1">
      <c r="B30" s="36"/>
      <c r="C30" s="36"/>
      <c r="D30" s="36"/>
      <c r="E30" s="53" t="str">
        <f>"FY "&amp;MASTER!$B$4-1&amp;" - "&amp;MASTER!$B$4</f>
        <v>FY 2020 - 2021</v>
      </c>
      <c r="F30" s="56">
        <v>44286</v>
      </c>
      <c r="G30" s="54" t="str">
        <f>"June "&amp;MASTER!$B$4</f>
        <v>June 2021</v>
      </c>
      <c r="H30" s="55" t="str">
        <f>"FY "&amp;MASTER!$B$4&amp;" - "&amp;MASTER!$B$5</f>
        <v>FY 2021 - 2022</v>
      </c>
    </row>
    <row r="31" spans="2:13" s="5" customFormat="1" ht="14.1" customHeight="1">
      <c r="B31" s="57"/>
      <c r="C31" s="57"/>
      <c r="D31" s="58"/>
      <c r="E31" s="59"/>
      <c r="F31" s="60"/>
      <c r="G31" s="60"/>
      <c r="H31" s="58"/>
    </row>
    <row r="32" spans="2:13" s="5" customFormat="1" ht="14.1" customHeight="1">
      <c r="B32" s="40" t="str">
        <f>$D$5</f>
        <v>Interest Earnings</v>
      </c>
      <c r="C32" s="41"/>
      <c r="D32" s="58"/>
      <c r="E32" s="61">
        <v>90000</v>
      </c>
      <c r="F32" s="62">
        <v>67492</v>
      </c>
      <c r="G32" s="62">
        <v>90000</v>
      </c>
      <c r="H32" s="63">
        <v>90000</v>
      </c>
    </row>
    <row r="33" spans="2:253" s="5" customFormat="1" ht="14.1" customHeight="1">
      <c r="B33" s="40"/>
      <c r="C33" s="41"/>
      <c r="D33" s="58"/>
      <c r="E33" s="59"/>
      <c r="F33" s="59"/>
      <c r="G33" s="58"/>
      <c r="H33" s="82"/>
    </row>
    <row r="34" spans="2:253" s="5" customFormat="1" ht="14.1" customHeight="1">
      <c r="B34" s="40"/>
      <c r="C34" s="41"/>
      <c r="D34" s="58"/>
      <c r="E34" s="58"/>
      <c r="F34" s="58"/>
      <c r="G34" s="58"/>
      <c r="H34" s="63"/>
    </row>
    <row r="35" spans="2:253" s="5" customFormat="1" ht="14.1" customHeight="1">
      <c r="B35" s="2"/>
      <c r="C35" s="1"/>
    </row>
    <row r="36" spans="2:253" s="5" customFormat="1" ht="14.1" customHeight="1">
      <c r="B36" s="36" t="s">
        <v>39</v>
      </c>
      <c r="C36" s="36"/>
      <c r="D36" s="55" t="s">
        <v>40</v>
      </c>
      <c r="E36" s="55" t="s">
        <v>41</v>
      </c>
    </row>
    <row r="37" spans="2:253" s="5" customFormat="1" ht="14.1" customHeight="1">
      <c r="B37" s="75" t="s">
        <v>32</v>
      </c>
      <c r="C37" s="84">
        <f>E37/E41</f>
        <v>0.35</v>
      </c>
      <c r="D37" s="78">
        <f>SUMPRODUCT($F$23:$F$23,$J$23:$J$23)</f>
        <v>31499.999999999996</v>
      </c>
      <c r="E37" s="78">
        <f>$D37+($C$26-SUM($D$37:$D$40))*($D37/$D$41)</f>
        <v>31499.999999999996</v>
      </c>
    </row>
    <row r="38" spans="2:253" s="5" customFormat="1" ht="14.1" customHeight="1">
      <c r="B38" s="75" t="s">
        <v>33</v>
      </c>
      <c r="C38" s="84">
        <f>E38/E41</f>
        <v>0.55000000000000004</v>
      </c>
      <c r="D38" s="78">
        <f>SUMPRODUCT($F$23:$F$23,$K$23:$K$23)</f>
        <v>49500.000000000007</v>
      </c>
      <c r="E38" s="78">
        <f>$D38+($C$26-SUM($D$37:$D$40))*($D38/$D$41)</f>
        <v>49500.000000000007</v>
      </c>
    </row>
    <row r="39" spans="2:253" s="5" customFormat="1" ht="14.1" customHeight="1">
      <c r="B39" s="75" t="s">
        <v>34</v>
      </c>
      <c r="C39" s="84">
        <f>E39/E41</f>
        <v>0.1</v>
      </c>
      <c r="D39" s="78">
        <f>SUMPRODUCT($F$23:$F$23,$L$23:$L$23)</f>
        <v>9000</v>
      </c>
      <c r="E39" s="78">
        <f>$D39+($C$26-SUM($D$37:$D$40))*($D39/$D$41)</f>
        <v>9000</v>
      </c>
    </row>
    <row r="40" spans="2:253" s="5" customFormat="1" ht="14.1" customHeight="1">
      <c r="B40" s="75" t="s">
        <v>35</v>
      </c>
      <c r="C40" s="84">
        <f>E40/E41</f>
        <v>0</v>
      </c>
      <c r="D40" s="78">
        <f>SUMPRODUCT($F$23:$F$23,$M$23:$M$23)</f>
        <v>0</v>
      </c>
      <c r="E40" s="78">
        <f>$D40+($C$26-SUM($D$37:$D$40))*($D40/$D$41)</f>
        <v>0</v>
      </c>
    </row>
    <row r="41" spans="2:253" s="5" customFormat="1" ht="12.75" customHeight="1">
      <c r="B41" s="77" t="s">
        <v>10</v>
      </c>
      <c r="C41" s="85">
        <f>SUM(C37:C40)</f>
        <v>1</v>
      </c>
      <c r="D41" s="79">
        <f>SUM(D37:D40)</f>
        <v>90000</v>
      </c>
      <c r="E41" s="79">
        <f>SUM(E37:E40)</f>
        <v>90000</v>
      </c>
    </row>
    <row r="42" spans="2:253" s="5" customFormat="1" ht="12.75" customHeight="1">
      <c r="B42" s="2"/>
      <c r="C42" s="2"/>
      <c r="D42" s="2"/>
      <c r="E42" s="76"/>
    </row>
    <row r="43" spans="2:253" s="5" customFormat="1" ht="12.75" customHeight="1">
      <c r="E43" s="20"/>
      <c r="F43" s="6"/>
    </row>
    <row r="44" spans="2:253" s="5" customFormat="1" ht="12.75" customHeight="1">
      <c r="E44" s="20"/>
    </row>
    <row r="45" spans="2:253" s="5" customFormat="1" ht="12.75" customHeight="1">
      <c r="D45" s="21"/>
      <c r="E45" s="20"/>
    </row>
    <row r="46" spans="2:253" s="5" customFormat="1" ht="12.75" customHeight="1">
      <c r="D46" s="21"/>
      <c r="E46" s="20"/>
    </row>
    <row r="47" spans="2:253" s="5" customFormat="1" ht="12.75" customHeight="1">
      <c r="E47" s="20"/>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row>
    <row r="48" spans="2:253" s="5" customFormat="1" ht="12.75" customHeight="1">
      <c r="D48" s="21"/>
      <c r="E48" s="20"/>
    </row>
    <row r="49" spans="4:5" s="5" customFormat="1" ht="12.75" customHeight="1">
      <c r="E49" s="20"/>
    </row>
    <row r="50" spans="4:5" ht="12.75" customHeight="1">
      <c r="E50" s="20"/>
    </row>
    <row r="51" spans="4:5" ht="12.75" customHeight="1">
      <c r="E51" s="4"/>
    </row>
    <row r="52" spans="4:5">
      <c r="E52" s="3"/>
    </row>
    <row r="64" spans="4:5">
      <c r="D64" s="3"/>
      <c r="E64" s="3"/>
    </row>
  </sheetData>
  <mergeCells count="4">
    <mergeCell ref="E4:F4"/>
    <mergeCell ref="D5:G5"/>
    <mergeCell ref="B13:H14"/>
    <mergeCell ref="B17:H18"/>
  </mergeCells>
  <dataValidations count="2">
    <dataValidation type="list" allowBlank="1" showInputMessage="1" showErrorMessage="1" sqref="G23" xr:uid="{00000000-0002-0000-3D00-000000000000}">
      <formula1>allocation</formula1>
    </dataValidation>
    <dataValidation type="list" allowBlank="1" showInputMessage="1" showErrorMessage="1" sqref="E4" xr:uid="{00000000-0002-0000-3D00-000001000000}">
      <formula1>enterprise</formula1>
    </dataValidation>
  </dataValidations>
  <pageMargins left="0.7" right="0.7" top="0.75" bottom="0.75" header="0.3" footer="0.3"/>
  <pageSetup scale="94" fitToHeight="0"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2">
    <pageSetUpPr fitToPage="1"/>
  </sheetPr>
  <dimension ref="B2:IS64"/>
  <sheetViews>
    <sheetView topLeftCell="A12" workbookViewId="0">
      <selection activeCell="G26" sqref="G26"/>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E32</f>
        <v>25000</v>
      </c>
      <c r="K2" s="120">
        <f t="shared" ref="K2:M2" si="0">F32</f>
        <v>0</v>
      </c>
      <c r="L2" s="120">
        <f t="shared" si="0"/>
        <v>0</v>
      </c>
      <c r="M2" s="120">
        <f t="shared" si="0"/>
        <v>25000</v>
      </c>
    </row>
    <row r="3" spans="2:13" ht="14.1" customHeight="1">
      <c r="B3" s="40"/>
      <c r="C3" s="40"/>
      <c r="D3" s="40"/>
      <c r="E3" s="40"/>
      <c r="F3" s="40"/>
      <c r="G3" s="40"/>
      <c r="H3" s="40"/>
      <c r="J3" s="121">
        <f>C37</f>
        <v>0.1</v>
      </c>
      <c r="K3" s="121"/>
      <c r="L3" s="121"/>
      <c r="M3" s="121"/>
    </row>
    <row r="4" spans="2:13" ht="23.25" customHeight="1">
      <c r="B4" s="40"/>
      <c r="C4" s="40"/>
      <c r="D4" s="40"/>
      <c r="E4" s="316" t="s">
        <v>298</v>
      </c>
      <c r="F4" s="316"/>
      <c r="G4" s="41"/>
      <c r="H4" s="40"/>
      <c r="J4" s="121">
        <f t="shared" ref="J4:J6" si="1">C38</f>
        <v>0.1</v>
      </c>
    </row>
    <row r="5" spans="2:13" ht="14.1" customHeight="1">
      <c r="B5" s="42"/>
      <c r="C5" s="42"/>
      <c r="D5" s="312" t="str">
        <f>'Operating Budget'!B95</f>
        <v>Penalty Revenue</v>
      </c>
      <c r="E5" s="312"/>
      <c r="F5" s="312"/>
      <c r="G5" s="312"/>
      <c r="H5" s="43"/>
      <c r="J5" s="121">
        <f t="shared" si="1"/>
        <v>0.1</v>
      </c>
    </row>
    <row r="6" spans="2:13" ht="19.5" customHeight="1">
      <c r="B6" s="40"/>
      <c r="C6" s="40"/>
      <c r="D6" s="40"/>
      <c r="E6" s="40"/>
      <c r="H6" s="40"/>
      <c r="J6" s="121">
        <f t="shared" si="1"/>
        <v>0.7</v>
      </c>
    </row>
    <row r="7" spans="2:13" ht="14.1" hidden="1" customHeight="1">
      <c r="B7" s="40"/>
      <c r="C7" s="40"/>
      <c r="D7" s="40"/>
      <c r="E7" s="40"/>
      <c r="F7" s="44"/>
      <c r="G7" s="44"/>
      <c r="H7" s="40"/>
    </row>
    <row r="8" spans="2:13" ht="14.1" customHeight="1">
      <c r="B8" s="41" t="s">
        <v>2</v>
      </c>
      <c r="C8" s="40">
        <f>'Operating Budget'!C95</f>
        <v>6200</v>
      </c>
      <c r="D8" s="40"/>
      <c r="E8" s="40"/>
      <c r="F8" s="40"/>
      <c r="G8" s="40"/>
      <c r="H8" s="40"/>
    </row>
    <row r="9" spans="2:13" ht="14.1" customHeight="1">
      <c r="B9" s="41" t="s">
        <v>3</v>
      </c>
      <c r="C9" s="139">
        <f>INDEX('Operating Budget'!$A$12:$A$106,MATCH($B$32,'Operating Budget'!$B$12:$B$106,0))</f>
        <v>56</v>
      </c>
      <c r="D9" s="40"/>
      <c r="E9" s="40"/>
      <c r="F9" s="40"/>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302</v>
      </c>
      <c r="C13" s="319"/>
      <c r="D13" s="319"/>
      <c r="E13" s="319"/>
      <c r="F13" s="319"/>
      <c r="G13" s="319"/>
      <c r="H13" s="319"/>
    </row>
    <row r="14" spans="2:13" ht="14.1" hidden="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t="s">
        <v>303</v>
      </c>
      <c r="C17" s="319"/>
      <c r="D17" s="319"/>
      <c r="E17" s="319"/>
      <c r="F17" s="319"/>
      <c r="G17" s="319"/>
      <c r="H17" s="319"/>
    </row>
    <row r="18" spans="2:13" ht="14.1" customHeight="1">
      <c r="B18" s="319"/>
      <c r="C18" s="319"/>
      <c r="D18" s="319"/>
      <c r="E18" s="319"/>
      <c r="F18" s="319"/>
      <c r="G18" s="319"/>
      <c r="H18" s="319"/>
    </row>
    <row r="19" spans="2:13" ht="14.1" customHeight="1">
      <c r="B19" s="310"/>
      <c r="C19" s="310"/>
      <c r="D19" s="310"/>
      <c r="E19" s="310"/>
      <c r="F19" s="310"/>
      <c r="G19" s="310"/>
      <c r="H19" s="310"/>
    </row>
    <row r="20" spans="2:13" s="5" customFormat="1" ht="14.1" customHeight="1">
      <c r="B20" s="36" t="s">
        <v>7</v>
      </c>
      <c r="C20" s="37"/>
      <c r="D20" s="37"/>
      <c r="E20" s="37"/>
      <c r="F20" s="37"/>
      <c r="G20" s="37"/>
      <c r="H20" s="38"/>
    </row>
    <row r="21" spans="2:13" s="5" customFormat="1" ht="14.1" customHeight="1">
      <c r="B21" s="40"/>
      <c r="C21" s="41"/>
      <c r="D21" s="40"/>
      <c r="E21" s="40"/>
      <c r="F21" s="40"/>
      <c r="G21" s="40"/>
      <c r="H21" s="40"/>
    </row>
    <row r="22" spans="2:13" s="5" customFormat="1" ht="14.1" customHeight="1">
      <c r="B22" s="67" t="str">
        <f>$D$5</f>
        <v>Penalty Revenue</v>
      </c>
      <c r="C22" s="67"/>
      <c r="D22" s="68"/>
      <c r="E22" s="68"/>
      <c r="F22" s="68" t="s">
        <v>10</v>
      </c>
      <c r="G22" s="69" t="s">
        <v>31</v>
      </c>
      <c r="H22" s="40"/>
      <c r="J22" s="73" t="s">
        <v>32</v>
      </c>
      <c r="K22" s="73" t="s">
        <v>33</v>
      </c>
      <c r="L22" s="73" t="s">
        <v>34</v>
      </c>
      <c r="M22" s="73" t="s">
        <v>35</v>
      </c>
    </row>
    <row r="23" spans="2:13" s="5" customFormat="1" ht="14.1" customHeight="1">
      <c r="B23" s="5" t="s">
        <v>304</v>
      </c>
      <c r="C23" s="57"/>
      <c r="D23" s="80"/>
      <c r="E23" s="66"/>
      <c r="F23" s="66">
        <v>25000</v>
      </c>
      <c r="G23" s="71" t="s">
        <v>305</v>
      </c>
      <c r="H23" s="40"/>
      <c r="J23" s="74">
        <f>INDEX(MASTER!$C$25:$F$42,MATCH($G23,allocation,0),MATCH(J$22,MASTER!$C$24:$F$24,0))</f>
        <v>0.1</v>
      </c>
      <c r="K23" s="74">
        <f>INDEX(MASTER!$C$25:$F$42,MATCH($G23,allocation,0),MATCH(K$22,MASTER!$C$24:$F$24,0))</f>
        <v>0.1</v>
      </c>
      <c r="L23" s="74">
        <f>INDEX(MASTER!$C$25:$F$42,MATCH($G23,allocation,0),MATCH(L$22,MASTER!$C$24:$F$24,0))</f>
        <v>0.1</v>
      </c>
      <c r="M23" s="74">
        <f>INDEX(MASTER!$C$25:$F$42,MATCH($G23,allocation,0),MATCH(M$22,MASTER!$C$24:$F$24,0))</f>
        <v>0.7</v>
      </c>
    </row>
    <row r="24" spans="2:13" s="5" customFormat="1" ht="14.1" customHeight="1" thickBot="1">
      <c r="B24" s="49" t="s">
        <v>10</v>
      </c>
      <c r="C24" s="49"/>
      <c r="D24" s="49"/>
      <c r="E24" s="49"/>
      <c r="F24" s="50">
        <f>SUM(F23:F23)</f>
        <v>25000</v>
      </c>
      <c r="G24" s="49"/>
      <c r="H24" s="40"/>
    </row>
    <row r="25" spans="2:13" s="5" customFormat="1" ht="14.1" customHeight="1" thickTop="1">
      <c r="B25" s="40"/>
      <c r="C25" s="41"/>
      <c r="G25" s="40"/>
      <c r="H25" s="40"/>
    </row>
    <row r="26" spans="2:13" s="5" customFormat="1" ht="14.1" customHeight="1">
      <c r="B26" s="41" t="s">
        <v>11</v>
      </c>
      <c r="C26" s="35">
        <f>ROUNDUP($F$24,-$B$27)</f>
        <v>25000</v>
      </c>
      <c r="F26" s="40"/>
      <c r="G26" s="40"/>
      <c r="H26" s="40"/>
    </row>
    <row r="27" spans="2:13" s="5" customFormat="1" ht="14.1" customHeight="1">
      <c r="B27" s="51">
        <v>3</v>
      </c>
      <c r="C27" s="41"/>
      <c r="D27" s="40"/>
      <c r="E27" s="40"/>
      <c r="F27" s="40"/>
      <c r="G27" s="40"/>
      <c r="H27" s="40"/>
    </row>
    <row r="28" spans="2:13" s="5" customFormat="1" ht="14.1" customHeight="1">
      <c r="B28" s="40"/>
      <c r="C28" s="41"/>
      <c r="D28" s="40"/>
      <c r="E28" s="40"/>
      <c r="F28" s="40"/>
      <c r="G28" s="40"/>
      <c r="H28" s="40"/>
    </row>
    <row r="29" spans="2:13" s="5" customFormat="1" ht="14.1" customHeight="1">
      <c r="B29" s="40"/>
      <c r="C29" s="41"/>
      <c r="D29" s="40"/>
      <c r="E29" s="53" t="s">
        <v>12</v>
      </c>
      <c r="F29" s="54" t="s">
        <v>13</v>
      </c>
      <c r="G29" s="54" t="s">
        <v>14</v>
      </c>
      <c r="H29" s="55" t="s">
        <v>15</v>
      </c>
    </row>
    <row r="30" spans="2:13" s="5" customFormat="1" ht="14.1" customHeight="1">
      <c r="B30" s="36"/>
      <c r="C30" s="36"/>
      <c r="D30" s="36"/>
      <c r="E30" s="53" t="str">
        <f>"FY "&amp;MASTER!$B$4-1&amp;" - "&amp;MASTER!$B$4</f>
        <v>FY 2020 - 2021</v>
      </c>
      <c r="F30" s="56">
        <f>MASTER!$B$6</f>
        <v>44255</v>
      </c>
      <c r="G30" s="54" t="str">
        <f>"June "&amp;MASTER!$B$4</f>
        <v>June 2021</v>
      </c>
      <c r="H30" s="55" t="str">
        <f>"FY "&amp;MASTER!$B$4&amp;" - "&amp;MASTER!$B$5</f>
        <v>FY 2021 - 2022</v>
      </c>
    </row>
    <row r="31" spans="2:13" s="5" customFormat="1" ht="14.1" customHeight="1">
      <c r="B31" s="57"/>
      <c r="C31" s="57"/>
      <c r="D31" s="58"/>
      <c r="E31" s="59"/>
      <c r="F31" s="60"/>
      <c r="G31" s="60"/>
      <c r="H31" s="58"/>
    </row>
    <row r="32" spans="2:13" s="5" customFormat="1" ht="14.1" customHeight="1">
      <c r="B32" s="40" t="str">
        <f>$D$5</f>
        <v>Penalty Revenue</v>
      </c>
      <c r="C32" s="41"/>
      <c r="D32" s="58"/>
      <c r="E32" s="61">
        <v>25000</v>
      </c>
      <c r="F32" s="62">
        <v>0</v>
      </c>
      <c r="G32" s="62">
        <v>0</v>
      </c>
      <c r="H32" s="63">
        <f>$C$26</f>
        <v>25000</v>
      </c>
    </row>
    <row r="33" spans="2:253" s="5" customFormat="1" ht="14.1" customHeight="1">
      <c r="B33" s="40"/>
      <c r="C33" s="41"/>
      <c r="D33" s="58"/>
      <c r="E33" s="59"/>
      <c r="F33" s="59"/>
      <c r="G33" s="58"/>
      <c r="H33" s="82"/>
    </row>
    <row r="34" spans="2:253" s="5" customFormat="1" ht="14.1" customHeight="1">
      <c r="B34" s="40"/>
      <c r="C34" s="41"/>
      <c r="D34" s="58"/>
      <c r="E34" s="58"/>
      <c r="F34" s="58"/>
      <c r="G34" s="58"/>
      <c r="H34" s="63"/>
    </row>
    <row r="35" spans="2:253" s="5" customFormat="1" ht="14.1" customHeight="1">
      <c r="B35" s="2"/>
      <c r="C35" s="1"/>
    </row>
    <row r="36" spans="2:253" s="5" customFormat="1" ht="14.1" customHeight="1">
      <c r="B36" s="36" t="s">
        <v>39</v>
      </c>
      <c r="C36" s="36"/>
      <c r="D36" s="55" t="s">
        <v>40</v>
      </c>
      <c r="E36" s="55" t="s">
        <v>41</v>
      </c>
    </row>
    <row r="37" spans="2:253" s="5" customFormat="1" ht="14.1" customHeight="1">
      <c r="B37" s="75" t="s">
        <v>32</v>
      </c>
      <c r="C37" s="84">
        <f>E37/E41</f>
        <v>0.1</v>
      </c>
      <c r="D37" s="78">
        <f>SUMPRODUCT($F$23:$F$23,$J$23:$J$23)</f>
        <v>2500</v>
      </c>
      <c r="E37" s="78">
        <f>$D37+($C$26-SUM($D$37:$D$40))*($D37/$D$41)</f>
        <v>2500</v>
      </c>
    </row>
    <row r="38" spans="2:253" s="5" customFormat="1" ht="14.1" customHeight="1">
      <c r="B38" s="75" t="s">
        <v>33</v>
      </c>
      <c r="C38" s="84">
        <f>E38/E41</f>
        <v>0.1</v>
      </c>
      <c r="D38" s="78">
        <f>SUMPRODUCT($F$23:$F$23,$K$23:$K$23)</f>
        <v>2500</v>
      </c>
      <c r="E38" s="78">
        <f>$D38+($C$26-SUM($D$37:$D$40))*($D38/$D$41)</f>
        <v>2500</v>
      </c>
    </row>
    <row r="39" spans="2:253" s="5" customFormat="1" ht="14.1" customHeight="1">
      <c r="B39" s="75" t="s">
        <v>34</v>
      </c>
      <c r="C39" s="84">
        <f>E39/E41</f>
        <v>0.1</v>
      </c>
      <c r="D39" s="78">
        <f>SUMPRODUCT($F$23:$F$23,$L$23:$L$23)</f>
        <v>2500</v>
      </c>
      <c r="E39" s="78">
        <f>$D39+($C$26-SUM($D$37:$D$40))*($D39/$D$41)</f>
        <v>2500</v>
      </c>
    </row>
    <row r="40" spans="2:253" s="5" customFormat="1" ht="14.1" customHeight="1">
      <c r="B40" s="75" t="s">
        <v>35</v>
      </c>
      <c r="C40" s="84">
        <f>E40/E41</f>
        <v>0.7</v>
      </c>
      <c r="D40" s="78">
        <f>SUMPRODUCT($F$23:$F$23,$M$23:$M$23)</f>
        <v>17500</v>
      </c>
      <c r="E40" s="78">
        <f>$D40+($C$26-SUM($D$37:$D$40))*($D40/$D$41)</f>
        <v>17500</v>
      </c>
    </row>
    <row r="41" spans="2:253" s="5" customFormat="1" ht="12.75" customHeight="1">
      <c r="B41" s="77" t="s">
        <v>10</v>
      </c>
      <c r="C41" s="85">
        <f>SUM(C37:C40)</f>
        <v>1</v>
      </c>
      <c r="D41" s="79">
        <f>SUM(D37:D40)</f>
        <v>25000</v>
      </c>
      <c r="E41" s="79">
        <f>SUM(E37:E40)</f>
        <v>25000</v>
      </c>
    </row>
    <row r="42" spans="2:253" s="5" customFormat="1" ht="12.75" customHeight="1">
      <c r="B42" s="2"/>
      <c r="C42" s="2"/>
      <c r="D42" s="2"/>
      <c r="E42" s="76"/>
    </row>
    <row r="43" spans="2:253" s="5" customFormat="1" ht="12.75" customHeight="1">
      <c r="E43" s="20"/>
      <c r="F43" s="6"/>
    </row>
    <row r="44" spans="2:253" s="5" customFormat="1" ht="12.75" customHeight="1">
      <c r="E44" s="20"/>
    </row>
    <row r="45" spans="2:253" s="5" customFormat="1" ht="12.75" customHeight="1">
      <c r="D45" s="21"/>
      <c r="E45" s="20"/>
    </row>
    <row r="46" spans="2:253" s="5" customFormat="1" ht="12.75" customHeight="1">
      <c r="D46" s="21"/>
      <c r="E46" s="20"/>
    </row>
    <row r="47" spans="2:253" s="5" customFormat="1" ht="12.75" customHeight="1">
      <c r="E47" s="20"/>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row>
    <row r="48" spans="2:253" s="5" customFormat="1" ht="12.75" customHeight="1">
      <c r="D48" s="21"/>
      <c r="E48" s="20"/>
    </row>
    <row r="49" spans="4:5" s="5" customFormat="1" ht="12.75" customHeight="1">
      <c r="E49" s="20"/>
    </row>
    <row r="50" spans="4:5" ht="12.75" customHeight="1">
      <c r="E50" s="20"/>
    </row>
    <row r="51" spans="4:5" ht="12.75" customHeight="1">
      <c r="E51" s="4"/>
    </row>
    <row r="52" spans="4:5">
      <c r="E52" s="3"/>
    </row>
    <row r="64" spans="4:5">
      <c r="D64" s="3"/>
      <c r="E64" s="3"/>
    </row>
  </sheetData>
  <mergeCells count="4">
    <mergeCell ref="E4:F4"/>
    <mergeCell ref="D5:G5"/>
    <mergeCell ref="B13:H14"/>
    <mergeCell ref="B17:H18"/>
  </mergeCells>
  <dataValidations count="2">
    <dataValidation type="list" allowBlank="1" showInputMessage="1" showErrorMessage="1" sqref="E4" xr:uid="{00000000-0002-0000-3E00-000000000000}">
      <formula1>enterprise</formula1>
    </dataValidation>
    <dataValidation type="list" allowBlank="1" showInputMessage="1" showErrorMessage="1" sqref="G23" xr:uid="{00000000-0002-0000-3E00-000001000000}">
      <formula1>allocation</formula1>
    </dataValidation>
  </dataValidations>
  <pageMargins left="0.7" right="0.7" top="0.75" bottom="0.75" header="0.3" footer="0.3"/>
  <pageSetup scale="94" fitToHeight="0"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3">
    <pageSetUpPr fitToPage="1"/>
  </sheetPr>
  <dimension ref="B2:IS64"/>
  <sheetViews>
    <sheetView topLeftCell="A20" workbookViewId="0">
      <selection activeCell="G33" sqref="G33"/>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E32</f>
        <v>66000</v>
      </c>
      <c r="K2" s="120">
        <f t="shared" ref="K2:M2" si="0">F32</f>
        <v>45200</v>
      </c>
      <c r="L2" s="120">
        <f t="shared" si="0"/>
        <v>80000</v>
      </c>
      <c r="M2" s="120">
        <f t="shared" si="0"/>
        <v>80000</v>
      </c>
    </row>
    <row r="3" spans="2:13" ht="14.1" customHeight="1">
      <c r="B3" s="40"/>
      <c r="C3" s="40"/>
      <c r="D3" s="40"/>
      <c r="E3" s="40"/>
      <c r="F3" s="40"/>
      <c r="G3" s="40"/>
      <c r="H3" s="40"/>
      <c r="J3" s="121">
        <f>C37</f>
        <v>0</v>
      </c>
      <c r="K3" s="121"/>
      <c r="L3" s="121"/>
      <c r="M3" s="121"/>
    </row>
    <row r="4" spans="2:13" ht="23.25" customHeight="1">
      <c r="B4" s="40"/>
      <c r="C4" s="40"/>
      <c r="D4" s="40"/>
      <c r="E4" s="316" t="s">
        <v>298</v>
      </c>
      <c r="F4" s="316"/>
      <c r="G4" s="41"/>
      <c r="H4" s="40"/>
      <c r="J4" s="121">
        <f t="shared" ref="J4:J6" si="1">C38</f>
        <v>0</v>
      </c>
    </row>
    <row r="5" spans="2:13" ht="14.1" customHeight="1">
      <c r="B5" s="42"/>
      <c r="C5" s="42"/>
      <c r="D5" s="312" t="str">
        <f>'Operating Budget'!B96</f>
        <v>Secured &amp; Unsecured Taxes</v>
      </c>
      <c r="E5" s="312"/>
      <c r="F5" s="312"/>
      <c r="G5" s="312"/>
      <c r="H5" s="43"/>
      <c r="J5" s="121">
        <f t="shared" si="1"/>
        <v>0</v>
      </c>
    </row>
    <row r="6" spans="2:13" ht="19.5" customHeight="1">
      <c r="B6" s="40"/>
      <c r="C6" s="40"/>
      <c r="D6" s="40"/>
      <c r="E6" s="40"/>
      <c r="H6" s="40"/>
      <c r="J6" s="121">
        <f t="shared" si="1"/>
        <v>1</v>
      </c>
    </row>
    <row r="7" spans="2:13" ht="14.1" hidden="1" customHeight="1">
      <c r="B7" s="40"/>
      <c r="C7" s="40"/>
      <c r="D7" s="40"/>
      <c r="E7" s="40"/>
      <c r="F7" s="44"/>
      <c r="G7" s="44"/>
      <c r="H7" s="40"/>
    </row>
    <row r="8" spans="2:13" ht="14.1" customHeight="1">
      <c r="B8" s="41" t="s">
        <v>2</v>
      </c>
      <c r="C8" s="40">
        <f>'Operating Budget'!C96</f>
        <v>6320</v>
      </c>
      <c r="D8" s="40"/>
      <c r="E8" s="40"/>
      <c r="F8" s="40"/>
      <c r="G8" s="40"/>
      <c r="H8" s="40"/>
    </row>
    <row r="9" spans="2:13" ht="14.1" customHeight="1">
      <c r="B9" s="41" t="s">
        <v>3</v>
      </c>
      <c r="C9" s="139">
        <f>INDEX('Operating Budget'!$A$12:$A$106,MATCH($B$32,'Operating Budget'!$B$12:$B$106,0))</f>
        <v>57</v>
      </c>
      <c r="D9" s="40"/>
      <c r="E9" s="202"/>
      <c r="F9" s="40"/>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306</v>
      </c>
      <c r="C13" s="319"/>
      <c r="D13" s="319"/>
      <c r="E13" s="319"/>
      <c r="F13" s="319"/>
      <c r="G13" s="319"/>
      <c r="H13" s="319"/>
    </row>
    <row r="14" spans="2:13" ht="14.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c r="C17" s="319"/>
      <c r="D17" s="319"/>
      <c r="E17" s="319"/>
      <c r="F17" s="319"/>
      <c r="G17" s="319"/>
      <c r="H17" s="319"/>
    </row>
    <row r="18" spans="2:13" ht="14.1" hidden="1" customHeight="1">
      <c r="B18" s="319"/>
      <c r="C18" s="319"/>
      <c r="D18" s="319"/>
      <c r="E18" s="319"/>
      <c r="F18" s="319"/>
      <c r="G18" s="319"/>
      <c r="H18" s="319"/>
    </row>
    <row r="19" spans="2:13" ht="14.1" customHeight="1">
      <c r="B19" s="310"/>
      <c r="C19" s="310"/>
      <c r="D19" s="310"/>
      <c r="E19" s="310"/>
      <c r="F19" s="310"/>
      <c r="G19" s="310"/>
      <c r="H19" s="310"/>
    </row>
    <row r="20" spans="2:13" s="5" customFormat="1" ht="14.1" customHeight="1">
      <c r="B20" s="36" t="s">
        <v>7</v>
      </c>
      <c r="C20" s="37"/>
      <c r="D20" s="37"/>
      <c r="E20" s="37"/>
      <c r="F20" s="37"/>
      <c r="G20" s="37"/>
      <c r="H20" s="38"/>
    </row>
    <row r="21" spans="2:13" s="5" customFormat="1" ht="14.1" customHeight="1">
      <c r="B21" s="40"/>
      <c r="C21" s="41"/>
      <c r="D21" s="40"/>
      <c r="E21" s="40"/>
      <c r="F21" s="40"/>
      <c r="G21" s="40"/>
      <c r="H21" s="40"/>
    </row>
    <row r="22" spans="2:13" s="5" customFormat="1" ht="14.1" customHeight="1">
      <c r="B22" s="67" t="str">
        <f>$D$5</f>
        <v>Secured &amp; Unsecured Taxes</v>
      </c>
      <c r="C22" s="67"/>
      <c r="D22" s="68"/>
      <c r="E22" s="68"/>
      <c r="F22" s="68" t="s">
        <v>10</v>
      </c>
      <c r="G22" s="69" t="s">
        <v>31</v>
      </c>
      <c r="H22" s="40"/>
      <c r="J22" s="73" t="s">
        <v>32</v>
      </c>
      <c r="K22" s="73" t="s">
        <v>33</v>
      </c>
      <c r="L22" s="73" t="s">
        <v>34</v>
      </c>
      <c r="M22" s="73" t="s">
        <v>35</v>
      </c>
    </row>
    <row r="23" spans="2:13" s="5" customFormat="1" ht="14.1" customHeight="1">
      <c r="B23" s="5" t="s">
        <v>307</v>
      </c>
      <c r="C23" s="57"/>
      <c r="D23" s="80"/>
      <c r="E23" s="66"/>
      <c r="F23" s="66">
        <v>80000</v>
      </c>
      <c r="G23" s="71" t="s">
        <v>142</v>
      </c>
      <c r="H23" s="40"/>
      <c r="J23" s="74">
        <f>INDEX(MASTER!$C$25:$F$42,MATCH($G23,allocation,0),MATCH(J$22,MASTER!$C$24:$F$24,0))</f>
        <v>0</v>
      </c>
      <c r="K23" s="74">
        <f>INDEX(MASTER!$C$25:$F$42,MATCH($G23,allocation,0),MATCH(K$22,MASTER!$C$24:$F$24,0))</f>
        <v>0</v>
      </c>
      <c r="L23" s="74">
        <f>INDEX(MASTER!$C$25:$F$42,MATCH($G23,allocation,0),MATCH(L$22,MASTER!$C$24:$F$24,0))</f>
        <v>0</v>
      </c>
      <c r="M23" s="74">
        <f>INDEX(MASTER!$C$25:$F$42,MATCH($G23,allocation,0),MATCH(M$22,MASTER!$C$24:$F$24,0))</f>
        <v>1</v>
      </c>
    </row>
    <row r="24" spans="2:13" s="5" customFormat="1" ht="14.1" customHeight="1" thickBot="1">
      <c r="B24" s="49" t="s">
        <v>10</v>
      </c>
      <c r="C24" s="49"/>
      <c r="D24" s="49"/>
      <c r="E24" s="49"/>
      <c r="F24" s="50">
        <f>SUM(F23:F23)</f>
        <v>80000</v>
      </c>
      <c r="G24" s="49"/>
      <c r="H24" s="40"/>
    </row>
    <row r="25" spans="2:13" s="5" customFormat="1" ht="14.1" customHeight="1" thickTop="1">
      <c r="B25" s="40"/>
      <c r="C25" s="41"/>
      <c r="G25" s="40"/>
      <c r="H25" s="40"/>
    </row>
    <row r="26" spans="2:13" s="5" customFormat="1" ht="14.1" customHeight="1">
      <c r="B26" s="41" t="s">
        <v>11</v>
      </c>
      <c r="C26" s="35">
        <f>ROUNDUP($F$24,-$B$27)</f>
        <v>80000</v>
      </c>
      <c r="F26" s="40"/>
      <c r="G26" s="40" t="s">
        <v>114</v>
      </c>
      <c r="H26" s="40"/>
    </row>
    <row r="27" spans="2:13" s="5" customFormat="1" ht="14.1" customHeight="1">
      <c r="B27" s="51">
        <v>3</v>
      </c>
      <c r="C27" s="41"/>
      <c r="D27" s="40"/>
      <c r="E27" s="40"/>
      <c r="F27" s="40"/>
      <c r="G27" s="40"/>
      <c r="H27" s="40"/>
    </row>
    <row r="28" spans="2:13" s="5" customFormat="1" ht="14.1" customHeight="1">
      <c r="B28" s="40"/>
      <c r="C28" s="41"/>
      <c r="D28" s="40"/>
      <c r="E28" s="40"/>
      <c r="F28" s="40"/>
      <c r="G28" s="40"/>
      <c r="H28" s="40"/>
    </row>
    <row r="29" spans="2:13" s="5" customFormat="1" ht="14.1" customHeight="1">
      <c r="B29" s="40"/>
      <c r="C29" s="41"/>
      <c r="D29" s="40"/>
      <c r="E29" s="53" t="s">
        <v>12</v>
      </c>
      <c r="F29" s="54" t="s">
        <v>13</v>
      </c>
      <c r="G29" s="54" t="s">
        <v>14</v>
      </c>
      <c r="H29" s="55" t="s">
        <v>15</v>
      </c>
    </row>
    <row r="30" spans="2:13" s="5" customFormat="1" ht="14.1" customHeight="1">
      <c r="B30" s="36"/>
      <c r="C30" s="36"/>
      <c r="D30" s="36"/>
      <c r="E30" s="53" t="str">
        <f>"FY "&amp;MASTER!$B$4-1&amp;" - "&amp;MASTER!$B$4</f>
        <v>FY 2020 - 2021</v>
      </c>
      <c r="F30" s="56">
        <f>MASTER!$B$6</f>
        <v>44255</v>
      </c>
      <c r="G30" s="54" t="str">
        <f>"June "&amp;MASTER!$B$4</f>
        <v>June 2021</v>
      </c>
      <c r="H30" s="55" t="str">
        <f>"FY "&amp;MASTER!$B$4&amp;" - "&amp;MASTER!$B$5</f>
        <v>FY 2021 - 2022</v>
      </c>
    </row>
    <row r="31" spans="2:13" s="5" customFormat="1" ht="14.1" customHeight="1">
      <c r="B31" s="57"/>
      <c r="C31" s="57"/>
      <c r="D31" s="58"/>
      <c r="E31" s="59"/>
      <c r="F31" s="60"/>
      <c r="G31" s="60"/>
      <c r="H31" s="58"/>
    </row>
    <row r="32" spans="2:13" s="5" customFormat="1" ht="14.1" customHeight="1">
      <c r="B32" s="40" t="str">
        <f>$D$5</f>
        <v>Secured &amp; Unsecured Taxes</v>
      </c>
      <c r="C32" s="41"/>
      <c r="D32" s="58"/>
      <c r="E32" s="61">
        <v>66000</v>
      </c>
      <c r="F32" s="62">
        <v>45200</v>
      </c>
      <c r="G32" s="62">
        <v>80000</v>
      </c>
      <c r="H32" s="63">
        <f>$C$26</f>
        <v>80000</v>
      </c>
    </row>
    <row r="33" spans="2:253" s="5" customFormat="1" ht="14.1" customHeight="1">
      <c r="B33" s="40"/>
      <c r="C33" s="41"/>
      <c r="D33" s="58"/>
      <c r="E33" s="59"/>
      <c r="F33" s="59"/>
      <c r="G33" s="58"/>
      <c r="H33" s="82"/>
    </row>
    <row r="34" spans="2:253" s="5" customFormat="1" ht="14.1" customHeight="1">
      <c r="B34" s="40"/>
      <c r="C34" s="41"/>
      <c r="D34" s="58"/>
      <c r="E34" s="58"/>
      <c r="F34" s="58"/>
      <c r="G34" s="58"/>
      <c r="H34" s="63"/>
    </row>
    <row r="35" spans="2:253" s="5" customFormat="1" ht="14.1" customHeight="1">
      <c r="B35" s="2"/>
      <c r="C35" s="1"/>
    </row>
    <row r="36" spans="2:253" s="5" customFormat="1" ht="14.1" customHeight="1">
      <c r="B36" s="36" t="s">
        <v>39</v>
      </c>
      <c r="C36" s="36"/>
      <c r="D36" s="55" t="s">
        <v>40</v>
      </c>
      <c r="E36" s="55" t="s">
        <v>41</v>
      </c>
    </row>
    <row r="37" spans="2:253" s="5" customFormat="1" ht="14.1" customHeight="1">
      <c r="B37" s="75" t="s">
        <v>32</v>
      </c>
      <c r="C37" s="84">
        <f>E37/E41</f>
        <v>0</v>
      </c>
      <c r="D37" s="78">
        <f>SUMPRODUCT($F$23:$F$23,$J$23:$J$23)</f>
        <v>0</v>
      </c>
      <c r="E37" s="78">
        <f>$D37+($C$26-SUM($D$37:$D$40))*($D37/$D$41)</f>
        <v>0</v>
      </c>
    </row>
    <row r="38" spans="2:253" s="5" customFormat="1" ht="14.1" customHeight="1">
      <c r="B38" s="75" t="s">
        <v>33</v>
      </c>
      <c r="C38" s="84">
        <f>E38/E41</f>
        <v>0</v>
      </c>
      <c r="D38" s="78">
        <f>SUMPRODUCT($F$23:$F$23,$K$23:$K$23)</f>
        <v>0</v>
      </c>
      <c r="E38" s="78">
        <f>$D38+($C$26-SUM($D$37:$D$40))*($D38/$D$41)</f>
        <v>0</v>
      </c>
    </row>
    <row r="39" spans="2:253" s="5" customFormat="1" ht="14.1" customHeight="1">
      <c r="B39" s="75" t="s">
        <v>34</v>
      </c>
      <c r="C39" s="84">
        <f>E39/E41</f>
        <v>0</v>
      </c>
      <c r="D39" s="78">
        <f>SUMPRODUCT($F$23:$F$23,$L$23:$L$23)</f>
        <v>0</v>
      </c>
      <c r="E39" s="78">
        <f>$D39+($C$26-SUM($D$37:$D$40))*($D39/$D$41)</f>
        <v>0</v>
      </c>
    </row>
    <row r="40" spans="2:253" s="5" customFormat="1" ht="14.1" customHeight="1">
      <c r="B40" s="75" t="s">
        <v>35</v>
      </c>
      <c r="C40" s="84">
        <f>E40/E41</f>
        <v>1</v>
      </c>
      <c r="D40" s="78">
        <f>SUMPRODUCT($F$23:$F$23,$M$23:$M$23)</f>
        <v>80000</v>
      </c>
      <c r="E40" s="78">
        <f>$D40+($C$26-SUM($D$37:$D$40))*($D40/$D$41)</f>
        <v>80000</v>
      </c>
    </row>
    <row r="41" spans="2:253" s="5" customFormat="1" ht="12.75" customHeight="1">
      <c r="B41" s="77" t="s">
        <v>10</v>
      </c>
      <c r="C41" s="85">
        <f>SUM(C37:C40)</f>
        <v>1</v>
      </c>
      <c r="D41" s="79">
        <f>SUM(D37:D40)</f>
        <v>80000</v>
      </c>
      <c r="E41" s="79">
        <f>SUM(E37:E40)</f>
        <v>80000</v>
      </c>
    </row>
    <row r="42" spans="2:253" s="5" customFormat="1" ht="12.75" customHeight="1">
      <c r="B42" s="2"/>
      <c r="C42" s="2"/>
      <c r="D42" s="2"/>
      <c r="E42" s="76"/>
    </row>
    <row r="43" spans="2:253" s="5" customFormat="1" ht="12.75" customHeight="1">
      <c r="E43" s="20"/>
      <c r="F43" s="6"/>
    </row>
    <row r="44" spans="2:253" s="5" customFormat="1" ht="12.75" customHeight="1">
      <c r="E44" s="20"/>
    </row>
    <row r="45" spans="2:253" s="5" customFormat="1" ht="12.75" customHeight="1">
      <c r="D45" s="21"/>
      <c r="E45" s="20"/>
    </row>
    <row r="46" spans="2:253" s="5" customFormat="1" ht="12.75" customHeight="1">
      <c r="D46" s="21"/>
      <c r="E46" s="20"/>
    </row>
    <row r="47" spans="2:253" s="5" customFormat="1" ht="12.75" customHeight="1">
      <c r="E47" s="20"/>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row>
    <row r="48" spans="2:253" s="5" customFormat="1" ht="12.75" customHeight="1">
      <c r="D48" s="21"/>
      <c r="E48" s="20"/>
    </row>
    <row r="49" spans="4:5" s="5" customFormat="1" ht="12.75" customHeight="1">
      <c r="E49" s="20"/>
    </row>
    <row r="50" spans="4:5" ht="12.75" customHeight="1">
      <c r="E50" s="20"/>
    </row>
    <row r="51" spans="4:5" ht="12.75" customHeight="1">
      <c r="E51" s="4"/>
    </row>
    <row r="52" spans="4:5">
      <c r="E52" s="3"/>
    </row>
    <row r="64" spans="4:5">
      <c r="D64" s="3"/>
      <c r="E64" s="3"/>
    </row>
  </sheetData>
  <mergeCells count="4">
    <mergeCell ref="E4:F4"/>
    <mergeCell ref="D5:G5"/>
    <mergeCell ref="B13:H14"/>
    <mergeCell ref="B17:H18"/>
  </mergeCells>
  <dataValidations count="2">
    <dataValidation type="list" allowBlank="1" showInputMessage="1" showErrorMessage="1" sqref="E4" xr:uid="{00000000-0002-0000-3F00-000000000000}">
      <formula1>enterprise</formula1>
    </dataValidation>
    <dataValidation type="list" allowBlank="1" showInputMessage="1" showErrorMessage="1" sqref="G23" xr:uid="{00000000-0002-0000-3F00-000001000000}">
      <formula1>allocation</formula1>
    </dataValidation>
  </dataValidations>
  <pageMargins left="0.7" right="0.7" top="0.75" bottom="0.75" header="0.3" footer="0.3"/>
  <pageSetup scale="94" fitToHeight="0"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4">
    <pageSetUpPr fitToPage="1"/>
  </sheetPr>
  <dimension ref="B2:IS64"/>
  <sheetViews>
    <sheetView topLeftCell="A24" workbookViewId="0">
      <selection activeCell="B17" sqref="B17:H18"/>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E32</f>
        <v>315000</v>
      </c>
      <c r="K2" s="120">
        <f t="shared" ref="K2:M2" si="0">F32</f>
        <v>314977</v>
      </c>
      <c r="L2" s="120">
        <f t="shared" si="0"/>
        <v>314977</v>
      </c>
      <c r="M2" s="120">
        <f t="shared" si="0"/>
        <v>313000</v>
      </c>
    </row>
    <row r="3" spans="2:13" ht="14.1" customHeight="1">
      <c r="B3" s="40"/>
      <c r="C3" s="40"/>
      <c r="D3" s="40"/>
      <c r="E3" s="40"/>
      <c r="F3" s="40"/>
      <c r="G3" s="40"/>
      <c r="H3" s="40"/>
      <c r="J3" s="121">
        <f>C37</f>
        <v>1</v>
      </c>
      <c r="K3" s="121"/>
      <c r="L3" s="121"/>
      <c r="M3" s="121"/>
    </row>
    <row r="4" spans="2:13" ht="23.25" customHeight="1">
      <c r="B4" s="40"/>
      <c r="C4" s="40"/>
      <c r="D4" s="40"/>
      <c r="E4" s="316" t="s">
        <v>308</v>
      </c>
      <c r="F4" s="316"/>
      <c r="G4" s="41"/>
      <c r="H4" s="40"/>
      <c r="J4" s="121">
        <f t="shared" ref="J4:J6" si="1">C38</f>
        <v>0</v>
      </c>
    </row>
    <row r="5" spans="2:13" ht="14.1" customHeight="1">
      <c r="B5" s="42"/>
      <c r="C5" s="42"/>
      <c r="D5" s="312" t="str">
        <f>'Operating Budget'!B100</f>
        <v>2012 Water Revenue Bonds</v>
      </c>
      <c r="E5" s="312"/>
      <c r="F5" s="312"/>
      <c r="G5" s="312"/>
      <c r="H5" s="43"/>
      <c r="J5" s="121">
        <f t="shared" si="1"/>
        <v>0</v>
      </c>
    </row>
    <row r="6" spans="2:13" ht="19.5" customHeight="1">
      <c r="B6" s="40"/>
      <c r="C6" s="40"/>
      <c r="D6" s="40"/>
      <c r="E6" s="40"/>
      <c r="H6" s="40"/>
      <c r="J6" s="121">
        <f t="shared" si="1"/>
        <v>0</v>
      </c>
    </row>
    <row r="7" spans="2:13" ht="14.1" hidden="1" customHeight="1">
      <c r="B7" s="40"/>
      <c r="C7" s="40"/>
      <c r="D7" s="40"/>
      <c r="E7" s="40"/>
      <c r="F7" s="44"/>
      <c r="G7" s="44"/>
      <c r="H7" s="40"/>
    </row>
    <row r="8" spans="2:13" ht="14.1" customHeight="1">
      <c r="B8" s="41" t="s">
        <v>2</v>
      </c>
      <c r="C8" s="40">
        <f>'Operating Budget'!C100</f>
        <v>2805</v>
      </c>
      <c r="D8" s="40"/>
      <c r="E8" s="40"/>
      <c r="F8" s="40"/>
      <c r="G8" s="40"/>
      <c r="H8" s="40"/>
    </row>
    <row r="9" spans="2:13" ht="14.1" customHeight="1">
      <c r="B9" s="41" t="s">
        <v>3</v>
      </c>
      <c r="C9" s="40">
        <f>INDEX('Operating Budget'!$A$12:$A$106,MATCH($B$32,'Operating Budget'!$B$12:$B$106,0))</f>
        <v>58</v>
      </c>
      <c r="D9" s="40"/>
      <c r="E9" s="40"/>
      <c r="F9" s="40"/>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309</v>
      </c>
      <c r="C13" s="319"/>
      <c r="D13" s="319"/>
      <c r="E13" s="319"/>
      <c r="F13" s="319"/>
      <c r="G13" s="319"/>
      <c r="H13" s="319"/>
    </row>
    <row r="14" spans="2:13" ht="14.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t="s">
        <v>310</v>
      </c>
      <c r="C17" s="319"/>
      <c r="D17" s="319"/>
      <c r="E17" s="319"/>
      <c r="F17" s="319"/>
      <c r="G17" s="319"/>
      <c r="H17" s="319"/>
    </row>
    <row r="18" spans="2:13" ht="14.1" hidden="1" customHeight="1">
      <c r="B18" s="319"/>
      <c r="C18" s="319"/>
      <c r="D18" s="319"/>
      <c r="E18" s="319"/>
      <c r="F18" s="319"/>
      <c r="G18" s="319"/>
      <c r="H18" s="319"/>
    </row>
    <row r="19" spans="2:13" ht="14.1" customHeight="1">
      <c r="B19" s="310"/>
      <c r="C19" s="310"/>
      <c r="D19" s="310"/>
      <c r="E19" s="310"/>
      <c r="F19" s="310"/>
      <c r="G19" s="310"/>
      <c r="H19" s="310"/>
    </row>
    <row r="20" spans="2:13" s="5" customFormat="1" ht="14.1" customHeight="1">
      <c r="B20" s="36" t="s">
        <v>7</v>
      </c>
      <c r="C20" s="37"/>
      <c r="D20" s="37"/>
      <c r="E20" s="37"/>
      <c r="F20" s="37"/>
      <c r="G20" s="37"/>
      <c r="H20" s="38"/>
    </row>
    <row r="21" spans="2:13" s="5" customFormat="1" ht="14.1" customHeight="1">
      <c r="B21" s="40"/>
      <c r="C21" s="41"/>
      <c r="D21" s="40"/>
      <c r="E21" s="40"/>
      <c r="F21" s="40"/>
      <c r="G21" s="40"/>
      <c r="H21" s="40"/>
    </row>
    <row r="22" spans="2:13" s="5" customFormat="1" ht="14.1" customHeight="1">
      <c r="B22" s="67" t="str">
        <f>$D$5</f>
        <v>2012 Water Revenue Bonds</v>
      </c>
      <c r="C22" s="67"/>
      <c r="D22" s="68"/>
      <c r="E22" s="68"/>
      <c r="F22" s="68" t="s">
        <v>10</v>
      </c>
      <c r="G22" s="69" t="s">
        <v>31</v>
      </c>
      <c r="H22" s="40"/>
      <c r="J22" s="73" t="s">
        <v>32</v>
      </c>
      <c r="K22" s="73" t="s">
        <v>33</v>
      </c>
      <c r="L22" s="73" t="s">
        <v>34</v>
      </c>
      <c r="M22" s="73" t="s">
        <v>35</v>
      </c>
    </row>
    <row r="23" spans="2:13" s="5" customFormat="1" ht="14.1" customHeight="1">
      <c r="B23" s="5" t="s">
        <v>311</v>
      </c>
      <c r="C23" s="57"/>
      <c r="D23" s="80"/>
      <c r="E23" s="66"/>
      <c r="F23" s="66">
        <v>312900</v>
      </c>
      <c r="G23" s="71" t="s">
        <v>37</v>
      </c>
      <c r="H23" s="40"/>
      <c r="J23" s="74">
        <f>INDEX(MASTER!$C$25:$F$42,MATCH($G23,allocation,0),MATCH(J$22,MASTER!$C$24:$F$24,0))</f>
        <v>1</v>
      </c>
      <c r="K23" s="74">
        <f>INDEX(MASTER!$C$25:$F$42,MATCH($G23,allocation,0),MATCH(K$22,MASTER!$C$24:$F$24,0))</f>
        <v>0</v>
      </c>
      <c r="L23" s="74">
        <f>INDEX(MASTER!$C$25:$F$42,MATCH($G23,allocation,0),MATCH(L$22,MASTER!$C$24:$F$24,0))</f>
        <v>0</v>
      </c>
      <c r="M23" s="74">
        <f>INDEX(MASTER!$C$25:$F$42,MATCH($G23,allocation,0),MATCH(M$22,MASTER!$C$24:$F$24,0))</f>
        <v>0</v>
      </c>
    </row>
    <row r="24" spans="2:13" s="5" customFormat="1" ht="14.1" customHeight="1" thickBot="1">
      <c r="B24" s="49" t="s">
        <v>10</v>
      </c>
      <c r="C24" s="49"/>
      <c r="D24" s="49"/>
      <c r="E24" s="49"/>
      <c r="F24" s="50">
        <f>SUM(F23:F23)</f>
        <v>312900</v>
      </c>
      <c r="G24" s="49"/>
      <c r="H24" s="40"/>
    </row>
    <row r="25" spans="2:13" s="5" customFormat="1" ht="14.1" customHeight="1" thickTop="1">
      <c r="B25" s="40"/>
      <c r="C25" s="41"/>
      <c r="G25" s="40"/>
      <c r="H25" s="40"/>
    </row>
    <row r="26" spans="2:13" s="5" customFormat="1" ht="14.1" customHeight="1">
      <c r="B26" s="41" t="s">
        <v>11</v>
      </c>
      <c r="C26" s="35">
        <f>ROUNDUP($F$24,-$B$27)</f>
        <v>313000</v>
      </c>
      <c r="F26" s="40"/>
      <c r="G26" s="40"/>
      <c r="H26" s="40"/>
    </row>
    <row r="27" spans="2:13" s="5" customFormat="1" ht="14.1" customHeight="1">
      <c r="B27" s="51">
        <v>3</v>
      </c>
      <c r="C27" s="41"/>
      <c r="D27" s="40"/>
      <c r="E27" s="40"/>
      <c r="F27" s="40"/>
      <c r="G27" s="40"/>
      <c r="H27" s="40"/>
    </row>
    <row r="28" spans="2:13" s="5" customFormat="1" ht="14.1" customHeight="1">
      <c r="B28" s="40"/>
      <c r="C28" s="41"/>
      <c r="D28" s="40"/>
      <c r="E28" s="40"/>
      <c r="F28" s="40"/>
      <c r="G28" s="40"/>
      <c r="H28" s="40"/>
    </row>
    <row r="29" spans="2:13" s="5" customFormat="1" ht="14.1" customHeight="1">
      <c r="B29" s="40"/>
      <c r="C29" s="41"/>
      <c r="D29" s="40"/>
      <c r="E29" s="53" t="s">
        <v>12</v>
      </c>
      <c r="F29" s="54" t="s">
        <v>13</v>
      </c>
      <c r="G29" s="54" t="s">
        <v>14</v>
      </c>
      <c r="H29" s="55" t="s">
        <v>15</v>
      </c>
    </row>
    <row r="30" spans="2:13" s="5" customFormat="1" ht="14.1" customHeight="1">
      <c r="B30" s="36"/>
      <c r="C30" s="36"/>
      <c r="D30" s="36"/>
      <c r="E30" s="53" t="str">
        <f>"FY "&amp;MASTER!$B$4-1&amp;" - "&amp;MASTER!$B$4</f>
        <v>FY 2020 - 2021</v>
      </c>
      <c r="F30" s="56">
        <f>MASTER!$B$6</f>
        <v>44255</v>
      </c>
      <c r="G30" s="54" t="str">
        <f>"June "&amp;MASTER!$B$4</f>
        <v>June 2021</v>
      </c>
      <c r="H30" s="55" t="str">
        <f>"FY "&amp;MASTER!$B$4&amp;" - "&amp;MASTER!$B$5</f>
        <v>FY 2021 - 2022</v>
      </c>
    </row>
    <row r="31" spans="2:13" s="5" customFormat="1" ht="14.1" customHeight="1">
      <c r="B31" s="57"/>
      <c r="C31" s="57"/>
      <c r="D31" s="58"/>
      <c r="E31" s="59"/>
      <c r="F31" s="60"/>
      <c r="G31" s="60"/>
      <c r="H31" s="58"/>
    </row>
    <row r="32" spans="2:13" s="5" customFormat="1" ht="14.1" customHeight="1">
      <c r="B32" s="40" t="str">
        <f>$D$5</f>
        <v>2012 Water Revenue Bonds</v>
      </c>
      <c r="C32" s="41"/>
      <c r="D32" s="58"/>
      <c r="E32" s="61">
        <v>315000</v>
      </c>
      <c r="F32" s="62">
        <v>314977</v>
      </c>
      <c r="G32" s="62">
        <v>314977</v>
      </c>
      <c r="H32" s="63">
        <v>313000</v>
      </c>
    </row>
    <row r="33" spans="2:253" s="5" customFormat="1" ht="14.1" customHeight="1">
      <c r="B33" s="40"/>
      <c r="C33" s="41"/>
      <c r="D33" s="58"/>
      <c r="E33" s="59"/>
      <c r="F33" s="59"/>
      <c r="G33" s="58"/>
      <c r="H33" s="82"/>
    </row>
    <row r="34" spans="2:253" s="5" customFormat="1" ht="14.1" customHeight="1">
      <c r="B34" s="40"/>
      <c r="C34" s="41"/>
      <c r="D34" s="58"/>
      <c r="E34" s="58"/>
      <c r="F34" s="58"/>
      <c r="G34" s="58"/>
      <c r="H34" s="63" t="s">
        <v>312</v>
      </c>
    </row>
    <row r="35" spans="2:253" s="5" customFormat="1" ht="14.1" customHeight="1">
      <c r="B35" s="2"/>
      <c r="C35" s="1"/>
    </row>
    <row r="36" spans="2:253" s="5" customFormat="1" ht="14.1" customHeight="1">
      <c r="B36" s="36" t="s">
        <v>39</v>
      </c>
      <c r="C36" s="36"/>
      <c r="D36" s="55" t="s">
        <v>40</v>
      </c>
      <c r="E36" s="55" t="s">
        <v>41</v>
      </c>
    </row>
    <row r="37" spans="2:253" s="5" customFormat="1" ht="14.1" customHeight="1">
      <c r="B37" s="75" t="s">
        <v>32</v>
      </c>
      <c r="C37" s="84">
        <f>E37/E41</f>
        <v>1</v>
      </c>
      <c r="D37" s="78">
        <f>SUMPRODUCT($F$23:$F$23,$J$23:$J$23)</f>
        <v>312900</v>
      </c>
      <c r="E37" s="78">
        <f>$D37+($C$26-SUM($D$37:$D$40))*($D37/$D$41)</f>
        <v>313000</v>
      </c>
    </row>
    <row r="38" spans="2:253" s="5" customFormat="1" ht="14.1" customHeight="1">
      <c r="B38" s="75" t="s">
        <v>33</v>
      </c>
      <c r="C38" s="84">
        <f>E38/E41</f>
        <v>0</v>
      </c>
      <c r="D38" s="78">
        <f>SUMPRODUCT($F$23:$F$23,$K$23:$K$23)</f>
        <v>0</v>
      </c>
      <c r="E38" s="78">
        <f>$D38+($C$26-SUM($D$37:$D$40))*($D38/$D$41)</f>
        <v>0</v>
      </c>
    </row>
    <row r="39" spans="2:253" s="5" customFormat="1" ht="14.1" customHeight="1">
      <c r="B39" s="75" t="s">
        <v>34</v>
      </c>
      <c r="C39" s="84">
        <f>E39/E41</f>
        <v>0</v>
      </c>
      <c r="D39" s="78">
        <f>SUMPRODUCT($F$23:$F$23,$L$23:$L$23)</f>
        <v>0</v>
      </c>
      <c r="E39" s="78">
        <f>$D39+($C$26-SUM($D$37:$D$40))*($D39/$D$41)</f>
        <v>0</v>
      </c>
    </row>
    <row r="40" spans="2:253" s="5" customFormat="1" ht="14.1" customHeight="1">
      <c r="B40" s="75" t="s">
        <v>35</v>
      </c>
      <c r="C40" s="84">
        <f>E40/E41</f>
        <v>0</v>
      </c>
      <c r="D40" s="78">
        <f>SUMPRODUCT($F$23:$F$23,$M$23:$M$23)</f>
        <v>0</v>
      </c>
      <c r="E40" s="78">
        <f>$D40+($C$26-SUM($D$37:$D$40))*($D40/$D$41)</f>
        <v>0</v>
      </c>
    </row>
    <row r="41" spans="2:253" s="5" customFormat="1" ht="12.75" customHeight="1">
      <c r="B41" s="77" t="s">
        <v>10</v>
      </c>
      <c r="C41" s="85">
        <f>SUM(C37:C40)</f>
        <v>1</v>
      </c>
      <c r="D41" s="79">
        <f>SUM(D37:D40)</f>
        <v>312900</v>
      </c>
      <c r="E41" s="79">
        <f>SUM(E37:E40)</f>
        <v>313000</v>
      </c>
    </row>
    <row r="42" spans="2:253" s="5" customFormat="1" ht="12.75" customHeight="1">
      <c r="B42" s="2"/>
      <c r="C42" s="2"/>
      <c r="D42" s="2"/>
      <c r="E42" s="76"/>
    </row>
    <row r="43" spans="2:253" s="5" customFormat="1" ht="12.75" customHeight="1">
      <c r="E43" s="20"/>
      <c r="F43" s="6"/>
    </row>
    <row r="44" spans="2:253" s="5" customFormat="1" ht="12.75" customHeight="1">
      <c r="E44" s="20"/>
    </row>
    <row r="45" spans="2:253" s="5" customFormat="1" ht="12.75" customHeight="1">
      <c r="D45" s="21"/>
      <c r="E45" s="20"/>
    </row>
    <row r="46" spans="2:253" s="5" customFormat="1" ht="12.75" customHeight="1">
      <c r="D46" s="21"/>
      <c r="E46" s="20"/>
    </row>
    <row r="47" spans="2:253" s="5" customFormat="1" ht="12.75" customHeight="1">
      <c r="E47" s="20"/>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row>
    <row r="48" spans="2:253" s="5" customFormat="1" ht="12.75" customHeight="1">
      <c r="D48" s="21"/>
      <c r="E48" s="20"/>
    </row>
    <row r="49" spans="4:5" s="5" customFormat="1" ht="12.75" customHeight="1">
      <c r="E49" s="20"/>
    </row>
    <row r="50" spans="4:5" ht="12.75" customHeight="1">
      <c r="E50" s="20"/>
    </row>
    <row r="51" spans="4:5" ht="12.75" customHeight="1">
      <c r="E51" s="4"/>
    </row>
    <row r="52" spans="4:5">
      <c r="E52" s="3"/>
    </row>
    <row r="64" spans="4:5">
      <c r="D64" s="3"/>
      <c r="E64" s="3"/>
    </row>
  </sheetData>
  <mergeCells count="4">
    <mergeCell ref="E4:F4"/>
    <mergeCell ref="D5:G5"/>
    <mergeCell ref="B13:H14"/>
    <mergeCell ref="B17:H18"/>
  </mergeCells>
  <dataValidations count="2">
    <dataValidation type="list" allowBlank="1" showInputMessage="1" showErrorMessage="1" sqref="G23" xr:uid="{00000000-0002-0000-4000-000000000000}">
      <formula1>allocation</formula1>
    </dataValidation>
    <dataValidation type="list" allowBlank="1" showInputMessage="1" showErrorMessage="1" sqref="E4" xr:uid="{00000000-0002-0000-4000-000001000000}">
      <formula1>enterprise</formula1>
    </dataValidation>
  </dataValidations>
  <pageMargins left="0.7" right="0.7" top="0.75" bottom="0.75" header="0.3" footer="0.3"/>
  <pageSetup scale="94"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B2:IS65"/>
  <sheetViews>
    <sheetView topLeftCell="B1" workbookViewId="0">
      <selection activeCell="I33" sqref="I33"/>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E33</f>
        <v>14000</v>
      </c>
      <c r="K2" s="120">
        <f t="shared" ref="K2:M2" si="0">F33</f>
        <v>13464</v>
      </c>
      <c r="L2" s="120">
        <f t="shared" si="0"/>
        <v>14000</v>
      </c>
      <c r="M2" s="120">
        <f t="shared" si="0"/>
        <v>16000</v>
      </c>
    </row>
    <row r="3" spans="2:13" ht="14.1" customHeight="1">
      <c r="B3" s="40"/>
      <c r="C3" s="40"/>
      <c r="D3" s="40"/>
      <c r="E3" s="40"/>
      <c r="F3" s="40"/>
      <c r="G3" s="40"/>
      <c r="H3" s="40"/>
      <c r="J3" s="121">
        <f>C38</f>
        <v>1</v>
      </c>
      <c r="K3" s="121"/>
      <c r="L3" s="121"/>
      <c r="M3" s="121"/>
    </row>
    <row r="4" spans="2:13" ht="23.25" customHeight="1">
      <c r="B4" s="40"/>
      <c r="C4" s="40"/>
      <c r="D4" s="40"/>
      <c r="E4" s="316" t="s">
        <v>1</v>
      </c>
      <c r="F4" s="316"/>
      <c r="G4" s="41"/>
      <c r="H4" s="40"/>
      <c r="J4" s="121">
        <f t="shared" ref="J4:J6" si="1">C39</f>
        <v>0</v>
      </c>
    </row>
    <row r="5" spans="2:13" ht="14.1" customHeight="1">
      <c r="B5" s="42"/>
      <c r="C5" s="42"/>
      <c r="D5" s="312" t="str">
        <f>'Operating Budget'!B23</f>
        <v>SWRCB Annual Admin Fee</v>
      </c>
      <c r="E5" s="312"/>
      <c r="F5" s="312"/>
      <c r="G5" s="312"/>
      <c r="H5" s="43"/>
      <c r="J5" s="121">
        <f t="shared" si="1"/>
        <v>0</v>
      </c>
    </row>
    <row r="6" spans="2:13" ht="19.5" customHeight="1">
      <c r="B6" s="40"/>
      <c r="C6" s="40"/>
      <c r="D6" s="40"/>
      <c r="E6" s="40"/>
      <c r="H6" s="40"/>
      <c r="J6" s="121">
        <f t="shared" si="1"/>
        <v>0</v>
      </c>
    </row>
    <row r="7" spans="2:13" ht="14.1" customHeight="1">
      <c r="B7" s="40"/>
      <c r="C7" s="40"/>
      <c r="D7" s="40"/>
      <c r="E7" s="40"/>
      <c r="F7" s="244"/>
      <c r="G7" s="44"/>
      <c r="H7" s="40"/>
    </row>
    <row r="8" spans="2:13" ht="14.1" customHeight="1">
      <c r="B8" s="41" t="s">
        <v>2</v>
      </c>
      <c r="C8" s="40">
        <f>'Operating Budget'!C23</f>
        <v>4220</v>
      </c>
      <c r="D8" s="40"/>
      <c r="E8" s="40"/>
      <c r="F8" s="40"/>
      <c r="G8" s="40"/>
      <c r="H8" s="40"/>
    </row>
    <row r="9" spans="2:13" ht="14.1" customHeight="1">
      <c r="B9" s="41" t="s">
        <v>3</v>
      </c>
      <c r="C9" s="40">
        <f>INDEX('Operating Budget'!$A$11:$A$107,MATCH('6'!C8,'Operating Budget'!C11:C107))</f>
        <v>6</v>
      </c>
      <c r="D9" s="40"/>
      <c r="E9" s="40"/>
      <c r="F9" s="40"/>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49</v>
      </c>
      <c r="C13" s="319"/>
      <c r="D13" s="319"/>
      <c r="E13" s="319"/>
      <c r="F13" s="319"/>
      <c r="G13" s="319"/>
      <c r="H13" s="319"/>
    </row>
    <row r="14" spans="2:13" ht="14.1" customHeight="1">
      <c r="B14" s="319"/>
      <c r="C14" s="319"/>
      <c r="D14" s="319"/>
      <c r="E14" s="319"/>
      <c r="F14" s="319"/>
      <c r="G14" s="319"/>
      <c r="H14" s="319"/>
    </row>
    <row r="15" spans="2:13" ht="14.1" customHeight="1">
      <c r="B15" s="45"/>
      <c r="C15" s="45"/>
      <c r="D15" s="45"/>
      <c r="E15" s="45"/>
      <c r="F15" s="45"/>
      <c r="G15" s="236"/>
      <c r="H15" s="45"/>
    </row>
    <row r="16" spans="2:13" ht="14.1" customHeight="1">
      <c r="B16" s="41" t="str">
        <f>"Changes for FY "&amp;MASTER!$B$4&amp;" - "&amp;MASTER!$B$5&amp;":"</f>
        <v>Changes for FY 2021 - 2022:</v>
      </c>
      <c r="C16" s="45"/>
      <c r="D16" s="45"/>
      <c r="E16" s="45"/>
      <c r="F16" s="45"/>
      <c r="G16" s="45"/>
      <c r="H16" s="45"/>
    </row>
    <row r="17" spans="2:13" ht="14.1" customHeight="1">
      <c r="B17" s="319" t="s">
        <v>50</v>
      </c>
      <c r="C17" s="319"/>
      <c r="D17" s="319"/>
      <c r="E17" s="319"/>
      <c r="F17" s="319"/>
      <c r="G17" s="319"/>
      <c r="H17" s="319"/>
    </row>
    <row r="18" spans="2:13" ht="14.1" hidden="1" customHeight="1">
      <c r="B18" s="319"/>
      <c r="C18" s="319"/>
      <c r="D18" s="319"/>
      <c r="E18" s="319"/>
      <c r="F18" s="319"/>
      <c r="G18" s="319"/>
      <c r="H18" s="319"/>
    </row>
    <row r="19" spans="2:13" ht="14.1" customHeight="1">
      <c r="B19" s="310"/>
      <c r="C19" s="310"/>
      <c r="D19" s="310"/>
      <c r="E19" s="310"/>
      <c r="F19" s="310"/>
      <c r="G19" s="310"/>
      <c r="H19" s="310"/>
    </row>
    <row r="20" spans="2:13" s="5" customFormat="1" ht="14.1" customHeight="1">
      <c r="B20" s="36" t="s">
        <v>7</v>
      </c>
      <c r="C20" s="37"/>
      <c r="D20" s="37"/>
      <c r="E20" s="37"/>
      <c r="F20" s="37"/>
      <c r="G20" s="37"/>
      <c r="H20" s="38"/>
    </row>
    <row r="21" spans="2:13" s="5" customFormat="1" ht="14.1" customHeight="1">
      <c r="B21" s="40"/>
      <c r="C21" s="41"/>
      <c r="D21" s="40"/>
      <c r="E21" s="40"/>
      <c r="F21" s="40"/>
      <c r="G21" s="40"/>
      <c r="H21" s="40"/>
    </row>
    <row r="22" spans="2:13" s="5" customFormat="1" ht="14.1" customHeight="1">
      <c r="B22" s="67" t="str">
        <f>$D$5</f>
        <v>SWRCB Annual Admin Fee</v>
      </c>
      <c r="C22" s="67"/>
      <c r="D22" s="68"/>
      <c r="E22" s="68"/>
      <c r="F22" s="68" t="s">
        <v>10</v>
      </c>
      <c r="G22" s="69" t="s">
        <v>31</v>
      </c>
      <c r="H22" s="40"/>
      <c r="J22" s="73" t="s">
        <v>32</v>
      </c>
      <c r="K22" s="73" t="s">
        <v>33</v>
      </c>
      <c r="L22" s="73" t="s">
        <v>34</v>
      </c>
      <c r="M22" s="73" t="s">
        <v>35</v>
      </c>
    </row>
    <row r="23" spans="2:13" s="5" customFormat="1" ht="14.1" customHeight="1">
      <c r="B23" s="64" t="s">
        <v>51</v>
      </c>
      <c r="C23" s="57"/>
      <c r="D23" s="80"/>
      <c r="E23" s="66"/>
      <c r="F23" s="66">
        <v>12000</v>
      </c>
      <c r="G23" s="71" t="s">
        <v>37</v>
      </c>
      <c r="H23" s="40"/>
      <c r="J23" s="74">
        <f>INDEX(MASTER!$C$25:$F$42,MATCH($G23,allocation,0),MATCH(J$22,MASTER!$C$24:$F$24,0))</f>
        <v>1</v>
      </c>
      <c r="K23" s="74">
        <f>INDEX(MASTER!$C$25:$F$42,MATCH($G23,allocation,0),MATCH(K$22,MASTER!$C$24:$F$24,0))</f>
        <v>0</v>
      </c>
      <c r="L23" s="74">
        <f>INDEX(MASTER!$C$25:$F$42,MATCH($G23,allocation,0),MATCH(L$22,MASTER!$C$24:$F$24,0))</f>
        <v>0</v>
      </c>
      <c r="M23" s="74">
        <f>INDEX(MASTER!$C$25:$F$42,MATCH($G23,allocation,0),MATCH(M$22,MASTER!$C$24:$F$24,0))</f>
        <v>0</v>
      </c>
    </row>
    <row r="24" spans="2:13" s="5" customFormat="1" ht="14.1" customHeight="1">
      <c r="B24" s="64" t="s">
        <v>52</v>
      </c>
      <c r="C24" s="57"/>
      <c r="D24" s="80"/>
      <c r="E24" s="66"/>
      <c r="F24" s="66">
        <v>4000</v>
      </c>
      <c r="G24" s="81" t="s">
        <v>37</v>
      </c>
      <c r="H24" s="40"/>
      <c r="J24" s="74">
        <f>INDEX(MASTER!$C$25:$F$42,MATCH($G24,allocation,0),MATCH(J$22,MASTER!$C$24:$F$24,0))</f>
        <v>1</v>
      </c>
      <c r="K24" s="74">
        <f>INDEX(MASTER!$C$25:$F$42,MATCH($G24,allocation,0),MATCH(K$22,MASTER!$C$24:$F$24,0))</f>
        <v>0</v>
      </c>
      <c r="L24" s="74">
        <f>INDEX(MASTER!$C$25:$F$42,MATCH($G24,allocation,0),MATCH(L$22,MASTER!$C$24:$F$24,0))</f>
        <v>0</v>
      </c>
      <c r="M24" s="74">
        <f>INDEX(MASTER!$C$25:$F$42,MATCH($G24,allocation,0),MATCH(M$22,MASTER!$C$24:$F$24,0))</f>
        <v>0</v>
      </c>
    </row>
    <row r="25" spans="2:13" s="5" customFormat="1" ht="14.1" customHeight="1" thickBot="1">
      <c r="B25" s="49" t="s">
        <v>10</v>
      </c>
      <c r="C25" s="49"/>
      <c r="D25" s="49"/>
      <c r="E25" s="49"/>
      <c r="F25" s="50">
        <f>SUM(F23:F24)</f>
        <v>16000</v>
      </c>
      <c r="G25" s="49"/>
      <c r="H25" s="40"/>
    </row>
    <row r="26" spans="2:13" s="5" customFormat="1" ht="14.1" customHeight="1" thickTop="1">
      <c r="B26" s="40"/>
      <c r="C26" s="41"/>
      <c r="G26" s="40"/>
      <c r="H26" s="40"/>
    </row>
    <row r="27" spans="2:13" s="5" customFormat="1" ht="14.1" customHeight="1">
      <c r="B27" s="41" t="s">
        <v>11</v>
      </c>
      <c r="C27" s="35">
        <f>ROUNDUP($F$25,-$B$28)</f>
        <v>16000</v>
      </c>
      <c r="F27" s="40"/>
      <c r="G27" s="40"/>
      <c r="H27" s="40"/>
    </row>
    <row r="28" spans="2:13" s="5" customFormat="1" ht="14.1" customHeight="1">
      <c r="B28" s="51">
        <v>2</v>
      </c>
      <c r="C28" s="41"/>
      <c r="D28" s="40"/>
      <c r="E28" s="40"/>
      <c r="F28" s="40"/>
      <c r="G28" s="40"/>
      <c r="H28" s="40"/>
    </row>
    <row r="29" spans="2:13" s="5" customFormat="1" ht="14.1" customHeight="1">
      <c r="B29" s="40"/>
      <c r="C29" s="41"/>
      <c r="D29" s="40"/>
      <c r="E29" s="40"/>
      <c r="F29" s="40"/>
      <c r="G29" s="40"/>
      <c r="H29" s="40"/>
    </row>
    <row r="30" spans="2:13" s="5" customFormat="1" ht="14.1" customHeight="1">
      <c r="B30" s="40"/>
      <c r="C30" s="41"/>
      <c r="D30" s="40"/>
      <c r="E30" s="53" t="s">
        <v>12</v>
      </c>
      <c r="F30" s="54" t="s">
        <v>13</v>
      </c>
      <c r="G30" s="54" t="s">
        <v>14</v>
      </c>
      <c r="H30" s="55" t="s">
        <v>15</v>
      </c>
    </row>
    <row r="31" spans="2:13" s="5" customFormat="1" ht="14.1" customHeight="1">
      <c r="B31" s="36"/>
      <c r="C31" s="36"/>
      <c r="D31" s="36"/>
      <c r="E31" s="53" t="str">
        <f>"FY "&amp;MASTER!$B$4-1&amp;" - "&amp;MASTER!$B$4</f>
        <v>FY 2020 - 2021</v>
      </c>
      <c r="F31" s="56">
        <f>MASTER!$B$6</f>
        <v>44255</v>
      </c>
      <c r="G31" s="54" t="str">
        <f>"June "&amp;MASTER!$B$4</f>
        <v>June 2021</v>
      </c>
      <c r="H31" s="55" t="str">
        <f>"FY "&amp;MASTER!$B$4&amp;" - "&amp;MASTER!$B$5</f>
        <v>FY 2021 - 2022</v>
      </c>
    </row>
    <row r="32" spans="2:13" s="5" customFormat="1" ht="14.1" customHeight="1">
      <c r="B32" s="57"/>
      <c r="C32" s="57"/>
      <c r="D32" s="58"/>
      <c r="E32" s="59"/>
      <c r="F32" s="60"/>
      <c r="G32" s="60"/>
      <c r="H32" s="58"/>
    </row>
    <row r="33" spans="2:253" s="5" customFormat="1" ht="14.1" customHeight="1">
      <c r="B33" s="40" t="str">
        <f>$D$5</f>
        <v>SWRCB Annual Admin Fee</v>
      </c>
      <c r="C33" s="41"/>
      <c r="D33" s="58"/>
      <c r="E33" s="61">
        <v>14000</v>
      </c>
      <c r="F33" s="62">
        <v>13464</v>
      </c>
      <c r="G33" s="62">
        <v>14000</v>
      </c>
      <c r="H33" s="63">
        <v>16000</v>
      </c>
    </row>
    <row r="34" spans="2:253" s="5" customFormat="1" ht="14.1" customHeight="1">
      <c r="B34" s="40"/>
      <c r="C34" s="41"/>
      <c r="D34" s="58"/>
      <c r="E34" s="59"/>
      <c r="F34" s="59"/>
      <c r="G34" s="58"/>
      <c r="H34" s="82"/>
    </row>
    <row r="35" spans="2:253" s="5" customFormat="1" ht="14.1" customHeight="1">
      <c r="B35" s="2"/>
      <c r="C35" s="1"/>
    </row>
    <row r="36" spans="2:253" s="5" customFormat="1" ht="14.1" customHeight="1">
      <c r="B36" s="2"/>
      <c r="C36" s="1"/>
    </row>
    <row r="37" spans="2:253" s="5" customFormat="1" ht="14.1" customHeight="1">
      <c r="B37" s="36" t="s">
        <v>39</v>
      </c>
      <c r="C37" s="36"/>
      <c r="D37" s="55" t="s">
        <v>40</v>
      </c>
      <c r="E37" s="55" t="s">
        <v>41</v>
      </c>
    </row>
    <row r="38" spans="2:253" s="5" customFormat="1" ht="14.1" customHeight="1">
      <c r="B38" s="75" t="s">
        <v>32</v>
      </c>
      <c r="C38" s="84">
        <f>E38/E42</f>
        <v>1</v>
      </c>
      <c r="D38" s="78">
        <f>SUMPRODUCT($F$23:$F$24,$J$23:$J$24)</f>
        <v>16000</v>
      </c>
      <c r="E38" s="78">
        <f>$D38+(C27-SUM(D38:D41))*($D38/$D$42)</f>
        <v>16000</v>
      </c>
    </row>
    <row r="39" spans="2:253" s="5" customFormat="1" ht="14.1" customHeight="1">
      <c r="B39" s="75" t="s">
        <v>33</v>
      </c>
      <c r="C39" s="84">
        <f>E39/E42</f>
        <v>0</v>
      </c>
      <c r="D39" s="78">
        <f>SUMPRODUCT($F$23:$F$24,$K$23:$K$24)</f>
        <v>0</v>
      </c>
      <c r="E39" s="78">
        <f>$D39+(C28-SUM(D39:D42))*($D39/$D$42)</f>
        <v>0</v>
      </c>
    </row>
    <row r="40" spans="2:253" s="5" customFormat="1" ht="14.1" customHeight="1">
      <c r="B40" s="75" t="s">
        <v>34</v>
      </c>
      <c r="C40" s="84">
        <f>E40/E42</f>
        <v>0</v>
      </c>
      <c r="D40" s="78">
        <f>SUMPRODUCT($F$23:$F$24,$L$23:$L$24)</f>
        <v>0</v>
      </c>
      <c r="E40" s="78">
        <f>$D40+(C29-SUM(D40:D43))*($D40/$D$42)</f>
        <v>0</v>
      </c>
    </row>
    <row r="41" spans="2:253" s="5" customFormat="1" ht="14.1" customHeight="1">
      <c r="B41" s="75" t="s">
        <v>35</v>
      </c>
      <c r="C41" s="84">
        <f>E41/E42</f>
        <v>0</v>
      </c>
      <c r="D41" s="78">
        <f>SUMPRODUCT($F$23:$F$24,$M$23:$M$24)</f>
        <v>0</v>
      </c>
      <c r="E41" s="78">
        <f>$D41+(C30-SUM(D41:D44))*($D41/$D$42)</f>
        <v>0</v>
      </c>
    </row>
    <row r="42" spans="2:253" s="5" customFormat="1" ht="12.75" customHeight="1">
      <c r="B42" s="77" t="s">
        <v>10</v>
      </c>
      <c r="C42" s="85">
        <f>SUM(C38:C41)</f>
        <v>1</v>
      </c>
      <c r="D42" s="79">
        <f>SUM(D38:D41)</f>
        <v>16000</v>
      </c>
      <c r="E42" s="79">
        <f>SUM(E38:E41)</f>
        <v>16000</v>
      </c>
    </row>
    <row r="43" spans="2:253" s="5" customFormat="1" ht="12.75" customHeight="1">
      <c r="B43" s="2"/>
      <c r="C43" s="2"/>
      <c r="D43" s="2"/>
      <c r="E43" s="76"/>
    </row>
    <row r="44" spans="2:253" s="5" customFormat="1" ht="12.75" customHeight="1">
      <c r="E44" s="20"/>
      <c r="F44" s="6"/>
    </row>
    <row r="45" spans="2:253" s="5" customFormat="1" ht="12.75" customHeight="1">
      <c r="E45" s="20"/>
    </row>
    <row r="46" spans="2:253" s="5" customFormat="1" ht="12.75" customHeight="1">
      <c r="D46" s="21"/>
      <c r="E46" s="20"/>
    </row>
    <row r="47" spans="2:253" s="5" customFormat="1" ht="12.75" customHeight="1">
      <c r="D47" s="21"/>
      <c r="E47" s="20"/>
    </row>
    <row r="48" spans="2:253" s="5" customFormat="1" ht="12.75" customHeight="1">
      <c r="E48" s="20"/>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row>
    <row r="49" spans="4:5" s="5" customFormat="1" ht="12.75" customHeight="1">
      <c r="D49" s="21"/>
      <c r="E49" s="20"/>
    </row>
    <row r="50" spans="4:5" s="5" customFormat="1" ht="12.75" customHeight="1">
      <c r="E50" s="20"/>
    </row>
    <row r="51" spans="4:5" ht="12.75" customHeight="1">
      <c r="E51" s="20"/>
    </row>
    <row r="52" spans="4:5" ht="12.75" customHeight="1">
      <c r="E52" s="4"/>
    </row>
    <row r="53" spans="4:5">
      <c r="E53" s="3"/>
    </row>
    <row r="65" spans="4:5">
      <c r="D65" s="3"/>
      <c r="E65" s="3"/>
    </row>
  </sheetData>
  <mergeCells count="4">
    <mergeCell ref="E4:F4"/>
    <mergeCell ref="B13:H14"/>
    <mergeCell ref="B17:H18"/>
    <mergeCell ref="D5:G5"/>
  </mergeCells>
  <dataValidations count="2">
    <dataValidation type="list" allowBlank="1" showInputMessage="1" showErrorMessage="1" sqref="E4" xr:uid="{00000000-0002-0000-0B00-000000000000}">
      <formula1>enterprise</formula1>
    </dataValidation>
    <dataValidation type="list" allowBlank="1" showInputMessage="1" showErrorMessage="1" sqref="G23:G24" xr:uid="{00000000-0002-0000-0B00-000001000000}">
      <formula1>allocation</formula1>
    </dataValidation>
  </dataValidations>
  <pageMargins left="0.7" right="0.7" top="0.75" bottom="0.75" header="0.3" footer="0.3"/>
  <pageSetup scale="94"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5">
    <pageSetUpPr fitToPage="1"/>
  </sheetPr>
  <dimension ref="B2:IS64"/>
  <sheetViews>
    <sheetView topLeftCell="A33" workbookViewId="0">
      <selection activeCell="H33" sqref="H33"/>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E32</f>
        <v>220000</v>
      </c>
      <c r="K2" s="120">
        <f t="shared" ref="K2:M2" si="0">F32</f>
        <v>219197</v>
      </c>
      <c r="L2" s="120">
        <f t="shared" si="0"/>
        <v>219196.88</v>
      </c>
      <c r="M2" s="120">
        <f t="shared" si="0"/>
        <v>220000</v>
      </c>
    </row>
    <row r="3" spans="2:13" ht="14.1" customHeight="1">
      <c r="B3" s="40"/>
      <c r="C3" s="40"/>
      <c r="D3" s="40"/>
      <c r="E3" s="40"/>
      <c r="F3" s="40"/>
      <c r="G3" s="40"/>
      <c r="H3" s="40"/>
      <c r="J3" s="121">
        <f>C37</f>
        <v>0</v>
      </c>
      <c r="K3" s="121"/>
      <c r="L3" s="121"/>
      <c r="M3" s="121"/>
    </row>
    <row r="4" spans="2:13" ht="23.25" customHeight="1">
      <c r="B4" s="40"/>
      <c r="C4" s="40"/>
      <c r="D4" s="40"/>
      <c r="E4" s="316" t="s">
        <v>308</v>
      </c>
      <c r="F4" s="316"/>
      <c r="G4" s="41"/>
      <c r="H4" s="40"/>
      <c r="J4" s="121">
        <f t="shared" ref="J4:J6" si="1">C38</f>
        <v>1</v>
      </c>
    </row>
    <row r="5" spans="2:13" ht="14.1" customHeight="1">
      <c r="B5" s="42"/>
      <c r="C5" s="42"/>
      <c r="D5" s="312" t="str">
        <f>'Operating Budget'!B101</f>
        <v>2016 Sewer Refunding Bonds</v>
      </c>
      <c r="E5" s="312"/>
      <c r="F5" s="312"/>
      <c r="G5" s="312"/>
      <c r="H5" s="43"/>
      <c r="J5" s="121">
        <f t="shared" si="1"/>
        <v>0</v>
      </c>
    </row>
    <row r="6" spans="2:13" ht="19.5" customHeight="1">
      <c r="B6" s="40"/>
      <c r="C6" s="40"/>
      <c r="D6" s="40"/>
      <c r="E6" s="40"/>
      <c r="H6" s="40"/>
      <c r="J6" s="121">
        <f t="shared" si="1"/>
        <v>0</v>
      </c>
    </row>
    <row r="7" spans="2:13" ht="14.1" hidden="1" customHeight="1">
      <c r="B7" s="40"/>
      <c r="C7" s="40"/>
      <c r="D7" s="40"/>
      <c r="E7" s="40"/>
      <c r="F7" s="44"/>
      <c r="G7" s="44"/>
      <c r="H7" s="40"/>
    </row>
    <row r="8" spans="2:13" ht="14.1" customHeight="1">
      <c r="B8" s="41" t="s">
        <v>2</v>
      </c>
      <c r="C8" s="40">
        <f>'Operating Budget'!C101</f>
        <v>2855</v>
      </c>
      <c r="D8" s="40"/>
      <c r="E8" s="40"/>
      <c r="F8" s="40"/>
      <c r="G8" s="40"/>
      <c r="H8" s="40"/>
    </row>
    <row r="9" spans="2:13" ht="14.1" customHeight="1">
      <c r="B9" s="41" t="s">
        <v>3</v>
      </c>
      <c r="C9" s="40">
        <f>INDEX('Operating Budget'!$A$12:$A$106,MATCH($B$32,'Operating Budget'!$B$12:$B$106,0))</f>
        <v>59</v>
      </c>
      <c r="D9" s="40"/>
      <c r="E9" s="40"/>
      <c r="F9" s="40"/>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313</v>
      </c>
      <c r="C13" s="319"/>
      <c r="D13" s="319"/>
      <c r="E13" s="319"/>
      <c r="F13" s="319"/>
      <c r="G13" s="319"/>
      <c r="H13" s="319"/>
    </row>
    <row r="14" spans="2:13" ht="14.1" hidden="1" customHeight="1">
      <c r="B14" s="319"/>
      <c r="C14" s="319"/>
      <c r="D14" s="319"/>
      <c r="E14" s="319"/>
      <c r="F14" s="319"/>
      <c r="G14" s="319"/>
      <c r="H14" s="319"/>
    </row>
    <row r="15" spans="2:13" ht="14.1" customHeight="1">
      <c r="B15" s="319"/>
      <c r="C15" s="319"/>
      <c r="D15" s="319"/>
      <c r="E15" s="319"/>
      <c r="F15" s="319"/>
      <c r="G15" s="319"/>
      <c r="H15" s="319"/>
    </row>
    <row r="16" spans="2:13" ht="14.1" customHeight="1">
      <c r="B16" s="41" t="str">
        <f>"Changes for FY "&amp;MASTER!$B$4&amp;" - "&amp;MASTER!$B$5&amp;":"</f>
        <v>Changes for FY 2021 - 2022:</v>
      </c>
      <c r="C16" s="45"/>
      <c r="D16" s="45"/>
      <c r="E16" s="45"/>
      <c r="F16" s="45"/>
      <c r="G16" s="45"/>
      <c r="H16" s="45"/>
    </row>
    <row r="17" spans="2:13" ht="14.1" customHeight="1">
      <c r="B17" s="319"/>
      <c r="C17" s="319"/>
      <c r="D17" s="319"/>
      <c r="E17" s="319"/>
      <c r="F17" s="319"/>
      <c r="G17" s="319"/>
      <c r="H17" s="319"/>
    </row>
    <row r="18" spans="2:13" ht="14.1" hidden="1" customHeight="1">
      <c r="B18" s="319"/>
      <c r="C18" s="319"/>
      <c r="D18" s="319"/>
      <c r="E18" s="319"/>
      <c r="F18" s="319"/>
      <c r="G18" s="319"/>
      <c r="H18" s="319"/>
    </row>
    <row r="19" spans="2:13" ht="14.1" customHeight="1">
      <c r="B19" s="310"/>
      <c r="C19" s="310"/>
      <c r="D19" s="310"/>
      <c r="E19" s="310"/>
      <c r="F19" s="310"/>
      <c r="G19" s="310"/>
      <c r="H19" s="310"/>
    </row>
    <row r="20" spans="2:13" s="5" customFormat="1" ht="14.1" customHeight="1">
      <c r="B20" s="36" t="s">
        <v>7</v>
      </c>
      <c r="C20" s="37"/>
      <c r="D20" s="37"/>
      <c r="E20" s="37"/>
      <c r="F20" s="37"/>
      <c r="G20" s="37"/>
      <c r="H20" s="38"/>
    </row>
    <row r="21" spans="2:13" s="5" customFormat="1" ht="14.1" customHeight="1">
      <c r="B21" s="40"/>
      <c r="C21" s="41"/>
      <c r="D21" s="40"/>
      <c r="E21" s="40"/>
      <c r="F21" s="40"/>
      <c r="G21" s="40"/>
      <c r="H21" s="40"/>
    </row>
    <row r="22" spans="2:13" s="5" customFormat="1" ht="14.1" customHeight="1">
      <c r="B22" s="67" t="str">
        <f>$D$5</f>
        <v>2016 Sewer Refunding Bonds</v>
      </c>
      <c r="C22" s="67"/>
      <c r="D22" s="68"/>
      <c r="E22" s="68"/>
      <c r="F22" s="68" t="s">
        <v>10</v>
      </c>
      <c r="G22" s="69" t="s">
        <v>31</v>
      </c>
      <c r="H22" s="40"/>
      <c r="J22" s="73" t="s">
        <v>32</v>
      </c>
      <c r="K22" s="73" t="s">
        <v>33</v>
      </c>
      <c r="L22" s="73" t="s">
        <v>34</v>
      </c>
      <c r="M22" s="73" t="s">
        <v>35</v>
      </c>
    </row>
    <row r="23" spans="2:13" s="5" customFormat="1" ht="14.1" customHeight="1">
      <c r="B23" s="5" t="s">
        <v>314</v>
      </c>
      <c r="C23" s="57"/>
      <c r="D23" s="80"/>
      <c r="E23" s="66"/>
      <c r="F23" s="66">
        <v>219197</v>
      </c>
      <c r="G23" s="71" t="s">
        <v>81</v>
      </c>
      <c r="H23" s="40"/>
      <c r="J23" s="74">
        <f>INDEX(MASTER!$C$25:$F$42,MATCH($G23,allocation,0),MATCH(J$22,MASTER!$C$24:$F$24,0))</f>
        <v>0</v>
      </c>
      <c r="K23" s="74">
        <f>INDEX(MASTER!$C$25:$F$42,MATCH($G23,allocation,0),MATCH(K$22,MASTER!$C$24:$F$24,0))</f>
        <v>1</v>
      </c>
      <c r="L23" s="74">
        <f>INDEX(MASTER!$C$25:$F$42,MATCH($G23,allocation,0),MATCH(L$22,MASTER!$C$24:$F$24,0))</f>
        <v>0</v>
      </c>
      <c r="M23" s="74">
        <f>INDEX(MASTER!$C$25:$F$42,MATCH($G23,allocation,0),MATCH(M$22,MASTER!$C$24:$F$24,0))</f>
        <v>0</v>
      </c>
    </row>
    <row r="24" spans="2:13" s="5" customFormat="1" ht="14.1" customHeight="1" thickBot="1">
      <c r="B24" s="49" t="s">
        <v>10</v>
      </c>
      <c r="C24" s="49"/>
      <c r="D24" s="49"/>
      <c r="E24" s="49"/>
      <c r="F24" s="50">
        <f>SUM(F23:F23)</f>
        <v>219197</v>
      </c>
      <c r="G24" s="49"/>
      <c r="H24" s="40"/>
    </row>
    <row r="25" spans="2:13" s="5" customFormat="1" ht="14.1" customHeight="1" thickTop="1">
      <c r="B25" s="40"/>
      <c r="C25" s="41"/>
      <c r="G25" s="40"/>
      <c r="H25" s="40"/>
    </row>
    <row r="26" spans="2:13" s="5" customFormat="1" ht="14.1" customHeight="1">
      <c r="B26" s="41" t="s">
        <v>11</v>
      </c>
      <c r="C26" s="35">
        <f>ROUNDUP($F$24,-$B$27)</f>
        <v>220000</v>
      </c>
      <c r="F26" s="40"/>
      <c r="G26" s="40"/>
      <c r="H26" s="40"/>
    </row>
    <row r="27" spans="2:13" s="5" customFormat="1" ht="14.1" customHeight="1">
      <c r="B27" s="51">
        <v>3</v>
      </c>
      <c r="C27" s="41"/>
      <c r="D27" s="40"/>
      <c r="E27" s="40"/>
      <c r="F27" s="40"/>
      <c r="G27" s="40"/>
      <c r="H27" s="40"/>
    </row>
    <row r="28" spans="2:13" s="5" customFormat="1" ht="14.1" customHeight="1">
      <c r="B28" s="40"/>
      <c r="C28" s="41"/>
      <c r="D28" s="40"/>
      <c r="E28" s="40"/>
      <c r="F28" s="40"/>
      <c r="G28" s="40"/>
      <c r="H28" s="40"/>
    </row>
    <row r="29" spans="2:13" s="5" customFormat="1" ht="14.1" customHeight="1">
      <c r="B29" s="40"/>
      <c r="C29" s="41"/>
      <c r="D29" s="40"/>
      <c r="E29" s="53" t="s">
        <v>12</v>
      </c>
      <c r="F29" s="54" t="s">
        <v>13</v>
      </c>
      <c r="G29" s="54" t="s">
        <v>14</v>
      </c>
      <c r="H29" s="55" t="s">
        <v>15</v>
      </c>
    </row>
    <row r="30" spans="2:13" s="5" customFormat="1" ht="14.1" customHeight="1">
      <c r="B30" s="36"/>
      <c r="C30" s="36"/>
      <c r="D30" s="36"/>
      <c r="E30" s="53" t="str">
        <f>"FY "&amp;MASTER!$B$4-1&amp;" - "&amp;MASTER!$B$4</f>
        <v>FY 2020 - 2021</v>
      </c>
      <c r="F30" s="56">
        <f>MASTER!$B$6</f>
        <v>44255</v>
      </c>
      <c r="G30" s="54" t="str">
        <f>"June "&amp;MASTER!$B$4</f>
        <v>June 2021</v>
      </c>
      <c r="H30" s="55" t="str">
        <f>"FY "&amp;MASTER!$B$4&amp;" - "&amp;MASTER!$B$5</f>
        <v>FY 2021 - 2022</v>
      </c>
    </row>
    <row r="31" spans="2:13" s="5" customFormat="1" ht="14.1" customHeight="1">
      <c r="B31" s="57"/>
      <c r="C31" s="57"/>
      <c r="D31" s="58"/>
      <c r="E31" s="59"/>
      <c r="F31" s="60"/>
      <c r="G31" s="60"/>
      <c r="H31" s="58"/>
    </row>
    <row r="32" spans="2:13" s="5" customFormat="1" ht="14.1" customHeight="1">
      <c r="B32" s="40" t="str">
        <f>$D$5</f>
        <v>2016 Sewer Refunding Bonds</v>
      </c>
      <c r="C32" s="41"/>
      <c r="D32" s="58"/>
      <c r="E32" s="61">
        <v>220000</v>
      </c>
      <c r="F32" s="62">
        <v>219197</v>
      </c>
      <c r="G32" s="62">
        <v>219196.88</v>
      </c>
      <c r="H32" s="63">
        <f>$C$26</f>
        <v>220000</v>
      </c>
    </row>
    <row r="33" spans="2:253" s="5" customFormat="1" ht="14.1" customHeight="1">
      <c r="B33" s="40"/>
      <c r="C33" s="41"/>
      <c r="D33" s="58"/>
      <c r="E33" s="59"/>
      <c r="F33" s="59"/>
      <c r="G33" s="58"/>
      <c r="H33" s="82"/>
    </row>
    <row r="34" spans="2:253" s="5" customFormat="1" ht="14.1" customHeight="1">
      <c r="B34" s="40"/>
      <c r="C34" s="41"/>
      <c r="D34" s="58"/>
      <c r="E34" s="58"/>
      <c r="F34" s="58"/>
      <c r="G34" s="58"/>
      <c r="H34" s="63"/>
    </row>
    <row r="35" spans="2:253" s="5" customFormat="1" ht="14.1" customHeight="1">
      <c r="B35" s="2"/>
      <c r="C35" s="1"/>
    </row>
    <row r="36" spans="2:253" s="5" customFormat="1" ht="14.1" customHeight="1">
      <c r="B36" s="36" t="s">
        <v>39</v>
      </c>
      <c r="C36" s="36"/>
      <c r="D36" s="55" t="s">
        <v>40</v>
      </c>
      <c r="E36" s="55" t="s">
        <v>41</v>
      </c>
    </row>
    <row r="37" spans="2:253" s="5" customFormat="1" ht="14.1" customHeight="1">
      <c r="B37" s="75" t="s">
        <v>32</v>
      </c>
      <c r="C37" s="84">
        <f>E37/E41</f>
        <v>0</v>
      </c>
      <c r="D37" s="78">
        <f>SUMPRODUCT($F$23:$F$23,$J$23:$J$23)</f>
        <v>0</v>
      </c>
      <c r="E37" s="78">
        <f>$D37+($C$26-SUM($D$37:$D$40))*($D37/$D$41)</f>
        <v>0</v>
      </c>
    </row>
    <row r="38" spans="2:253" s="5" customFormat="1" ht="14.1" customHeight="1">
      <c r="B38" s="75" t="s">
        <v>33</v>
      </c>
      <c r="C38" s="84">
        <f>E38/E41</f>
        <v>1</v>
      </c>
      <c r="D38" s="78">
        <f>SUMPRODUCT($F$23:$F$23,$K$23:$K$23)</f>
        <v>219197</v>
      </c>
      <c r="E38" s="78">
        <f>$D38+($C$26-SUM($D$37:$D$40))*($D38/$D$41)</f>
        <v>220000</v>
      </c>
    </row>
    <row r="39" spans="2:253" s="5" customFormat="1" ht="14.1" customHeight="1">
      <c r="B39" s="75" t="s">
        <v>34</v>
      </c>
      <c r="C39" s="84">
        <f>E39/E41</f>
        <v>0</v>
      </c>
      <c r="D39" s="78">
        <f>SUMPRODUCT($F$23:$F$23,$L$23:$L$23)</f>
        <v>0</v>
      </c>
      <c r="E39" s="78">
        <f>$D39+($C$26-SUM($D$37:$D$40))*($D39/$D$41)</f>
        <v>0</v>
      </c>
    </row>
    <row r="40" spans="2:253" s="5" customFormat="1" ht="14.1" customHeight="1">
      <c r="B40" s="75" t="s">
        <v>35</v>
      </c>
      <c r="C40" s="84">
        <f>E40/E41</f>
        <v>0</v>
      </c>
      <c r="D40" s="78">
        <f>SUMPRODUCT($F$23:$F$23,$M$23:$M$23)</f>
        <v>0</v>
      </c>
      <c r="E40" s="78">
        <f>$D40+($C$26-SUM($D$37:$D$40))*($D40/$D$41)</f>
        <v>0</v>
      </c>
    </row>
    <row r="41" spans="2:253" s="5" customFormat="1" ht="12.75" customHeight="1">
      <c r="B41" s="77" t="s">
        <v>10</v>
      </c>
      <c r="C41" s="85">
        <f>SUM(C37:C40)</f>
        <v>1</v>
      </c>
      <c r="D41" s="79">
        <f>SUM(D37:D40)</f>
        <v>219197</v>
      </c>
      <c r="E41" s="79">
        <f>SUM(E37:E40)</f>
        <v>220000</v>
      </c>
    </row>
    <row r="42" spans="2:253" s="5" customFormat="1" ht="12.75" customHeight="1">
      <c r="B42" s="2"/>
      <c r="C42" s="2"/>
      <c r="D42" s="2"/>
      <c r="E42" s="76"/>
    </row>
    <row r="43" spans="2:253" s="5" customFormat="1" ht="12.75" customHeight="1">
      <c r="E43" s="20"/>
      <c r="F43" s="6"/>
    </row>
    <row r="44" spans="2:253" s="5" customFormat="1" ht="12.75" customHeight="1">
      <c r="E44" s="20"/>
    </row>
    <row r="45" spans="2:253" s="5" customFormat="1" ht="12.75" customHeight="1">
      <c r="D45" s="21"/>
      <c r="E45" s="20"/>
    </row>
    <row r="46" spans="2:253" s="5" customFormat="1" ht="12.75" customHeight="1">
      <c r="D46" s="21"/>
      <c r="E46" s="20"/>
    </row>
    <row r="47" spans="2:253" s="5" customFormat="1" ht="12.75" customHeight="1">
      <c r="E47" s="20"/>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row>
    <row r="48" spans="2:253" s="5" customFormat="1" ht="12.75" customHeight="1">
      <c r="D48" s="21"/>
      <c r="E48" s="20"/>
    </row>
    <row r="49" spans="4:5" s="5" customFormat="1" ht="12.75" customHeight="1">
      <c r="E49" s="20"/>
    </row>
    <row r="50" spans="4:5" ht="12.75" customHeight="1">
      <c r="E50" s="20"/>
    </row>
    <row r="51" spans="4:5" ht="12.75" customHeight="1">
      <c r="E51" s="4"/>
    </row>
    <row r="52" spans="4:5">
      <c r="E52" s="3"/>
    </row>
    <row r="64" spans="4:5">
      <c r="D64" s="3"/>
      <c r="E64" s="3"/>
    </row>
  </sheetData>
  <mergeCells count="4">
    <mergeCell ref="E4:F4"/>
    <mergeCell ref="D5:G5"/>
    <mergeCell ref="B17:H18"/>
    <mergeCell ref="B13:H15"/>
  </mergeCells>
  <dataValidations count="2">
    <dataValidation type="list" allowBlank="1" showInputMessage="1" showErrorMessage="1" sqref="E4" xr:uid="{00000000-0002-0000-4100-000000000000}">
      <formula1>enterprise</formula1>
    </dataValidation>
    <dataValidation type="list" allowBlank="1" showInputMessage="1" showErrorMessage="1" sqref="G23" xr:uid="{00000000-0002-0000-4100-000001000000}">
      <formula1>allocation</formula1>
    </dataValidation>
  </dataValidations>
  <pageMargins left="0.7" right="0.7" top="0.75" bottom="0.75" header="0.3" footer="0.3"/>
  <pageSetup scale="94" fitToHeight="0"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4F4F1-FC00-4040-A1EF-7E4F8697DA53}">
  <sheetPr>
    <pageSetUpPr fitToPage="1"/>
  </sheetPr>
  <dimension ref="B2:IS64"/>
  <sheetViews>
    <sheetView topLeftCell="A10" workbookViewId="0">
      <selection activeCell="G26" sqref="G26"/>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E32</f>
        <v>85000</v>
      </c>
      <c r="K2" s="120">
        <f t="shared" ref="K2:M2" si="0">F32</f>
        <v>85000</v>
      </c>
      <c r="L2" s="120">
        <f t="shared" si="0"/>
        <v>85000</v>
      </c>
      <c r="M2" s="120">
        <f t="shared" si="0"/>
        <v>85000</v>
      </c>
    </row>
    <row r="3" spans="2:13" ht="14.1" customHeight="1">
      <c r="B3" s="40"/>
      <c r="C3" s="40"/>
      <c r="D3" s="40"/>
      <c r="E3" s="40"/>
      <c r="F3" s="40"/>
      <c r="G3" s="40"/>
      <c r="H3" s="40"/>
      <c r="J3" s="121">
        <f>C37</f>
        <v>0.48499999999999999</v>
      </c>
      <c r="K3" s="121"/>
      <c r="L3" s="121"/>
      <c r="M3" s="121"/>
    </row>
    <row r="4" spans="2:13" ht="23.25" customHeight="1">
      <c r="B4" s="40"/>
      <c r="C4" s="40"/>
      <c r="D4" s="40"/>
      <c r="E4" s="316" t="s">
        <v>308</v>
      </c>
      <c r="F4" s="316"/>
      <c r="G4" s="41"/>
      <c r="H4" s="40"/>
      <c r="J4" s="121">
        <f t="shared" ref="J4:J6" si="1">C38</f>
        <v>0.51500000000000001</v>
      </c>
    </row>
    <row r="5" spans="2:13" ht="14.1" customHeight="1">
      <c r="B5" s="42"/>
      <c r="C5" s="42"/>
      <c r="D5" s="312" t="str">
        <f>'Operating Budget'!B102</f>
        <v>CSDA Loan - Smart Meter Project</v>
      </c>
      <c r="E5" s="312"/>
      <c r="F5" s="312"/>
      <c r="G5" s="312"/>
      <c r="H5" s="43"/>
      <c r="J5" s="121">
        <f t="shared" si="1"/>
        <v>0</v>
      </c>
    </row>
    <row r="6" spans="2:13" ht="19.5" customHeight="1">
      <c r="B6" s="40"/>
      <c r="C6" s="40"/>
      <c r="D6" s="40"/>
      <c r="E6" s="40"/>
      <c r="H6" s="40"/>
      <c r="J6" s="121">
        <f t="shared" si="1"/>
        <v>0</v>
      </c>
    </row>
    <row r="7" spans="2:13" ht="14.1" hidden="1" customHeight="1">
      <c r="B7" s="40"/>
      <c r="C7" s="40"/>
      <c r="D7" s="40"/>
      <c r="E7" s="40"/>
      <c r="F7" s="44"/>
      <c r="G7" s="44"/>
      <c r="H7" s="40"/>
    </row>
    <row r="8" spans="2:13" ht="14.1" customHeight="1">
      <c r="B8" s="41" t="s">
        <v>2</v>
      </c>
      <c r="C8" s="40">
        <f>'Operating Budget'!C101</f>
        <v>2855</v>
      </c>
      <c r="D8" s="40"/>
      <c r="E8" s="40"/>
      <c r="F8" s="40"/>
      <c r="G8" s="40"/>
      <c r="H8" s="40"/>
    </row>
    <row r="9" spans="2:13" ht="14.1" customHeight="1">
      <c r="B9" s="41" t="s">
        <v>3</v>
      </c>
      <c r="C9" s="40">
        <v>60</v>
      </c>
      <c r="D9" s="40"/>
      <c r="E9" s="40"/>
      <c r="F9" s="40"/>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315</v>
      </c>
      <c r="C13" s="319"/>
      <c r="D13" s="319"/>
      <c r="E13" s="319"/>
      <c r="F13" s="319"/>
      <c r="G13" s="319"/>
      <c r="H13" s="319"/>
    </row>
    <row r="14" spans="2:13" ht="14.1" hidden="1" customHeight="1">
      <c r="B14" s="319"/>
      <c r="C14" s="319"/>
      <c r="D14" s="319"/>
      <c r="E14" s="319"/>
      <c r="F14" s="319"/>
      <c r="G14" s="319"/>
      <c r="H14" s="319"/>
    </row>
    <row r="15" spans="2:13" ht="14.1" customHeight="1">
      <c r="B15" s="319"/>
      <c r="C15" s="319"/>
      <c r="D15" s="319"/>
      <c r="E15" s="319"/>
      <c r="F15" s="319"/>
      <c r="G15" s="319"/>
      <c r="H15" s="319"/>
    </row>
    <row r="16" spans="2:13" ht="14.1" customHeight="1">
      <c r="B16" s="41" t="str">
        <f>"Changes for FY "&amp;MASTER!$B$4&amp;" - "&amp;MASTER!$B$5&amp;":"</f>
        <v>Changes for FY 2021 - 2022:</v>
      </c>
      <c r="C16" s="45"/>
      <c r="D16" s="45"/>
      <c r="E16" s="45"/>
      <c r="F16" s="45"/>
      <c r="G16" s="45"/>
      <c r="H16" s="45"/>
    </row>
    <row r="17" spans="2:13" ht="14.1" customHeight="1">
      <c r="B17" s="319" t="s">
        <v>43</v>
      </c>
      <c r="C17" s="319"/>
      <c r="D17" s="319"/>
      <c r="E17" s="319"/>
      <c r="F17" s="319"/>
      <c r="G17" s="319"/>
      <c r="H17" s="319"/>
    </row>
    <row r="18" spans="2:13" ht="14.1" hidden="1" customHeight="1">
      <c r="B18" s="319"/>
      <c r="C18" s="319"/>
      <c r="D18" s="319"/>
      <c r="E18" s="319"/>
      <c r="F18" s="319"/>
      <c r="G18" s="319"/>
      <c r="H18" s="319"/>
    </row>
    <row r="19" spans="2:13" ht="14.1" customHeight="1">
      <c r="B19" s="310"/>
      <c r="C19" s="310"/>
      <c r="D19" s="310"/>
      <c r="E19" s="310"/>
      <c r="F19" s="310"/>
      <c r="G19" s="310"/>
      <c r="H19" s="310"/>
    </row>
    <row r="20" spans="2:13" s="5" customFormat="1" ht="14.1" customHeight="1">
      <c r="B20" s="36" t="s">
        <v>7</v>
      </c>
      <c r="C20" s="37"/>
      <c r="D20" s="37"/>
      <c r="E20" s="37"/>
      <c r="F20" s="37"/>
      <c r="G20" s="37"/>
      <c r="H20" s="38"/>
    </row>
    <row r="21" spans="2:13" s="5" customFormat="1" ht="14.1" customHeight="1">
      <c r="B21" s="40"/>
      <c r="C21" s="41"/>
      <c r="D21" s="40"/>
      <c r="E21" s="40"/>
      <c r="F21" s="40"/>
      <c r="G21" s="40"/>
      <c r="H21" s="40"/>
    </row>
    <row r="22" spans="2:13" s="5" customFormat="1" ht="14.1" customHeight="1">
      <c r="B22" s="67" t="str">
        <f>$D$5</f>
        <v>CSDA Loan - Smart Meter Project</v>
      </c>
      <c r="C22" s="67"/>
      <c r="D22" s="68"/>
      <c r="E22" s="68"/>
      <c r="F22" s="68" t="s">
        <v>10</v>
      </c>
      <c r="G22" s="69" t="s">
        <v>31</v>
      </c>
      <c r="H22" s="40"/>
      <c r="J22" s="73" t="s">
        <v>32</v>
      </c>
      <c r="K22" s="73" t="s">
        <v>33</v>
      </c>
      <c r="L22" s="73" t="s">
        <v>34</v>
      </c>
      <c r="M22" s="73" t="s">
        <v>35</v>
      </c>
    </row>
    <row r="23" spans="2:13" s="5" customFormat="1" ht="14.1" customHeight="1">
      <c r="B23" s="5" t="s">
        <v>314</v>
      </c>
      <c r="C23" s="57"/>
      <c r="D23" s="80"/>
      <c r="E23" s="66"/>
      <c r="F23" s="66">
        <v>84807</v>
      </c>
      <c r="G23" s="71" t="s">
        <v>256</v>
      </c>
      <c r="H23" s="40"/>
      <c r="J23" s="74">
        <f>INDEX(MASTER!$C$25:$F$42,MATCH($G23,allocation,0),MATCH(J$22,MASTER!$C$24:$F$24,0))</f>
        <v>0.48499999999999999</v>
      </c>
      <c r="K23" s="74">
        <f>INDEX(MASTER!$C$25:$F$42,MATCH($G23,allocation,0),MATCH(K$22,MASTER!$C$24:$F$24,0))</f>
        <v>0.51500000000000001</v>
      </c>
      <c r="L23" s="74">
        <f>INDEX(MASTER!$C$25:$F$42,MATCH($G23,allocation,0),MATCH(L$22,MASTER!$C$24:$F$24,0))</f>
        <v>0</v>
      </c>
      <c r="M23" s="74">
        <f>INDEX(MASTER!$C$25:$F$42,MATCH($G23,allocation,0),MATCH(M$22,MASTER!$C$24:$F$24,0))</f>
        <v>0</v>
      </c>
    </row>
    <row r="24" spans="2:13" s="5" customFormat="1" ht="14.1" customHeight="1" thickBot="1">
      <c r="B24" s="49" t="s">
        <v>10</v>
      </c>
      <c r="C24" s="49"/>
      <c r="D24" s="49"/>
      <c r="E24" s="49"/>
      <c r="F24" s="50">
        <f>SUM(F23:F23)</f>
        <v>84807</v>
      </c>
      <c r="G24" s="49"/>
      <c r="H24" s="40"/>
    </row>
    <row r="25" spans="2:13" s="5" customFormat="1" ht="14.1" customHeight="1" thickTop="1">
      <c r="B25" s="40"/>
      <c r="C25" s="41"/>
      <c r="G25" s="40"/>
      <c r="H25" s="40"/>
    </row>
    <row r="26" spans="2:13" s="5" customFormat="1" ht="14.1" customHeight="1">
      <c r="B26" s="41" t="s">
        <v>11</v>
      </c>
      <c r="C26" s="35">
        <f>ROUNDUP($F$24,-$B$27)</f>
        <v>85000</v>
      </c>
      <c r="F26" s="40"/>
      <c r="G26" s="40"/>
      <c r="H26" s="40"/>
    </row>
    <row r="27" spans="2:13" s="5" customFormat="1" ht="14.1" customHeight="1">
      <c r="B27" s="51">
        <v>3</v>
      </c>
      <c r="C27" s="41"/>
      <c r="D27" s="40"/>
      <c r="E27" s="40"/>
      <c r="F27" s="40"/>
      <c r="G27" s="40"/>
      <c r="H27" s="40"/>
    </row>
    <row r="28" spans="2:13" s="5" customFormat="1" ht="14.1" customHeight="1">
      <c r="B28" s="40"/>
      <c r="C28" s="41"/>
      <c r="D28" s="40"/>
      <c r="E28" s="40"/>
      <c r="F28" s="40"/>
      <c r="G28" s="40"/>
      <c r="H28" s="40"/>
    </row>
    <row r="29" spans="2:13" s="5" customFormat="1" ht="14.1" customHeight="1">
      <c r="B29" s="40"/>
      <c r="C29" s="41"/>
      <c r="D29" s="40"/>
      <c r="E29" s="53" t="s">
        <v>12</v>
      </c>
      <c r="F29" s="54" t="s">
        <v>13</v>
      </c>
      <c r="G29" s="54" t="s">
        <v>14</v>
      </c>
      <c r="H29" s="55" t="s">
        <v>15</v>
      </c>
    </row>
    <row r="30" spans="2:13" s="5" customFormat="1" ht="14.1" customHeight="1">
      <c r="B30" s="36"/>
      <c r="C30" s="36"/>
      <c r="D30" s="36"/>
      <c r="E30" s="53" t="str">
        <f>"FY "&amp;MASTER!$B$4-1&amp;" - "&amp;MASTER!$B$4</f>
        <v>FY 2020 - 2021</v>
      </c>
      <c r="F30" s="56">
        <f>MASTER!$B$6</f>
        <v>44255</v>
      </c>
      <c r="G30" s="54" t="str">
        <f>"June "&amp;MASTER!$B$4</f>
        <v>June 2021</v>
      </c>
      <c r="H30" s="55" t="str">
        <f>"FY "&amp;MASTER!$B$4&amp;" - "&amp;MASTER!$B$5</f>
        <v>FY 2021 - 2022</v>
      </c>
    </row>
    <row r="31" spans="2:13" s="5" customFormat="1" ht="14.1" customHeight="1">
      <c r="B31" s="57"/>
      <c r="C31" s="57"/>
      <c r="D31" s="58"/>
      <c r="E31" s="59"/>
      <c r="F31" s="60"/>
      <c r="G31" s="60"/>
      <c r="H31" s="58"/>
    </row>
    <row r="32" spans="2:13" s="5" customFormat="1" ht="14.1" customHeight="1">
      <c r="B32" s="40" t="str">
        <f>$D$5</f>
        <v>CSDA Loan - Smart Meter Project</v>
      </c>
      <c r="C32" s="41"/>
      <c r="D32" s="58"/>
      <c r="E32" s="61">
        <v>85000</v>
      </c>
      <c r="F32" s="62">
        <v>85000</v>
      </c>
      <c r="G32" s="62">
        <v>85000</v>
      </c>
      <c r="H32" s="63">
        <f>C26</f>
        <v>85000</v>
      </c>
    </row>
    <row r="33" spans="2:253" s="5" customFormat="1" ht="14.1" customHeight="1">
      <c r="B33" s="40"/>
      <c r="C33" s="41"/>
      <c r="D33" s="58"/>
      <c r="E33" s="59"/>
      <c r="F33" s="59"/>
      <c r="G33" s="58"/>
      <c r="H33" s="82"/>
    </row>
    <row r="34" spans="2:253" s="5" customFormat="1" ht="14.1" customHeight="1">
      <c r="B34" s="40"/>
      <c r="C34" s="41"/>
      <c r="D34" s="58"/>
      <c r="E34" s="58"/>
      <c r="F34" s="58"/>
      <c r="G34" s="58"/>
      <c r="H34" s="63"/>
    </row>
    <row r="35" spans="2:253" s="5" customFormat="1" ht="14.1" customHeight="1">
      <c r="B35" s="2"/>
      <c r="C35" s="1"/>
    </row>
    <row r="36" spans="2:253" s="5" customFormat="1" ht="14.1" customHeight="1">
      <c r="B36" s="36" t="s">
        <v>39</v>
      </c>
      <c r="C36" s="36"/>
      <c r="D36" s="55" t="s">
        <v>40</v>
      </c>
      <c r="E36" s="55" t="s">
        <v>41</v>
      </c>
    </row>
    <row r="37" spans="2:253" s="5" customFormat="1" ht="14.1" customHeight="1">
      <c r="B37" s="75" t="s">
        <v>32</v>
      </c>
      <c r="C37" s="84">
        <f>E37/E41</f>
        <v>0.48499999999999999</v>
      </c>
      <c r="D37" s="78">
        <f>SUMPRODUCT($F$23:$F$23,$J$23:$J$23)</f>
        <v>41131.394999999997</v>
      </c>
      <c r="E37" s="78">
        <f>$D37+($C$26-SUM($D$37:$D$40))*($D37/$D$41)</f>
        <v>41225</v>
      </c>
    </row>
    <row r="38" spans="2:253" s="5" customFormat="1" ht="14.1" customHeight="1">
      <c r="B38" s="75" t="s">
        <v>33</v>
      </c>
      <c r="C38" s="84">
        <f>E38/E41</f>
        <v>0.51500000000000001</v>
      </c>
      <c r="D38" s="78">
        <f>SUMPRODUCT($F$23:$F$23,$K$23:$K$23)</f>
        <v>43675.605000000003</v>
      </c>
      <c r="E38" s="78">
        <f>$D38+($C$26-SUM($D$37:$D$40))*($D38/$D$41)</f>
        <v>43775</v>
      </c>
    </row>
    <row r="39" spans="2:253" s="5" customFormat="1" ht="14.1" customHeight="1">
      <c r="B39" s="75" t="s">
        <v>34</v>
      </c>
      <c r="C39" s="84">
        <f>E39/E41</f>
        <v>0</v>
      </c>
      <c r="D39" s="78">
        <f>SUMPRODUCT($F$23:$F$23,$L$23:$L$23)</f>
        <v>0</v>
      </c>
      <c r="E39" s="78">
        <f>$D39+($C$26-SUM($D$37:$D$40))*($D39/$D$41)</f>
        <v>0</v>
      </c>
    </row>
    <row r="40" spans="2:253" s="5" customFormat="1" ht="14.1" customHeight="1">
      <c r="B40" s="75" t="s">
        <v>35</v>
      </c>
      <c r="C40" s="84">
        <f>E40/E41</f>
        <v>0</v>
      </c>
      <c r="D40" s="78">
        <f>SUMPRODUCT($F$23:$F$23,$M$23:$M$23)</f>
        <v>0</v>
      </c>
      <c r="E40" s="78">
        <f>$D40+($C$26-SUM($D$37:$D$40))*($D40/$D$41)</f>
        <v>0</v>
      </c>
    </row>
    <row r="41" spans="2:253" s="5" customFormat="1" ht="12.75" customHeight="1">
      <c r="B41" s="77" t="s">
        <v>10</v>
      </c>
      <c r="C41" s="85">
        <f>SUM(C37:C40)</f>
        <v>1</v>
      </c>
      <c r="D41" s="79">
        <f>SUM(D37:D40)</f>
        <v>84807</v>
      </c>
      <c r="E41" s="79">
        <f>SUM(E37:E40)</f>
        <v>85000</v>
      </c>
    </row>
    <row r="42" spans="2:253" s="5" customFormat="1" ht="12.75" customHeight="1">
      <c r="B42" s="2"/>
      <c r="C42" s="2"/>
      <c r="D42" s="2"/>
      <c r="E42" s="76"/>
    </row>
    <row r="43" spans="2:253" s="5" customFormat="1" ht="12.75" customHeight="1">
      <c r="E43" s="20"/>
      <c r="F43" s="6"/>
    </row>
    <row r="44" spans="2:253" s="5" customFormat="1" ht="12.75" customHeight="1">
      <c r="E44" s="20"/>
    </row>
    <row r="45" spans="2:253" s="5" customFormat="1" ht="12.75" customHeight="1">
      <c r="D45" s="21"/>
      <c r="E45" s="20"/>
    </row>
    <row r="46" spans="2:253" s="5" customFormat="1" ht="12.75" customHeight="1">
      <c r="D46" s="21"/>
      <c r="E46" s="20"/>
    </row>
    <row r="47" spans="2:253" s="5" customFormat="1" ht="12.75" customHeight="1">
      <c r="E47" s="20"/>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row>
    <row r="48" spans="2:253" s="5" customFormat="1" ht="12.75" customHeight="1">
      <c r="D48" s="21"/>
      <c r="E48" s="20"/>
    </row>
    <row r="49" spans="4:5" s="5" customFormat="1" ht="12.75" customHeight="1">
      <c r="E49" s="20"/>
    </row>
    <row r="50" spans="4:5" ht="12.75" customHeight="1">
      <c r="E50" s="20"/>
    </row>
    <row r="51" spans="4:5" ht="12.75" customHeight="1">
      <c r="E51" s="4"/>
    </row>
    <row r="52" spans="4:5">
      <c r="E52" s="3"/>
    </row>
    <row r="64" spans="4:5">
      <c r="D64" s="3"/>
      <c r="E64" s="3"/>
    </row>
  </sheetData>
  <mergeCells count="4">
    <mergeCell ref="E4:F4"/>
    <mergeCell ref="D5:G5"/>
    <mergeCell ref="B17:H18"/>
    <mergeCell ref="B13:H15"/>
  </mergeCells>
  <dataValidations count="2">
    <dataValidation type="list" allowBlank="1" showInputMessage="1" showErrorMessage="1" sqref="G23" xr:uid="{17074B28-A7AA-4E16-83BF-9D6DD1F66339}">
      <formula1>allocation</formula1>
    </dataValidation>
    <dataValidation type="list" allowBlank="1" showInputMessage="1" showErrorMessage="1" sqref="E4" xr:uid="{3A274236-3B40-46A4-AC80-381BD9144590}">
      <formula1>enterprise</formula1>
    </dataValidation>
  </dataValidations>
  <pageMargins left="0.7" right="0.7" top="0.75" bottom="0.75" header="0.3" footer="0.3"/>
  <pageSetup scale="94" fitToHeight="0"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6">
    <pageSetUpPr fitToPage="1"/>
  </sheetPr>
  <dimension ref="A1:IS64"/>
  <sheetViews>
    <sheetView topLeftCell="A26" workbookViewId="0">
      <selection activeCell="F23" sqref="F23"/>
    </sheetView>
  </sheetViews>
  <sheetFormatPr defaultColWidth="8.85546875" defaultRowHeight="12.75"/>
  <cols>
    <col min="2" max="2" width="15.140625" customWidth="1"/>
    <col min="3" max="8" width="13.7109375" customWidth="1"/>
  </cols>
  <sheetData>
    <row r="1" spans="1:13">
      <c r="A1" t="s">
        <v>316</v>
      </c>
    </row>
    <row r="2" spans="1:13" ht="14.1" customHeight="1">
      <c r="B2" s="36" t="str">
        <f>"FY "&amp;MASTER!$B$4&amp;" - "&amp;MASTER!$B$5&amp;" OPERATING BUDGET"</f>
        <v>FY 2021 - 2022 OPERATING BUDGET</v>
      </c>
      <c r="C2" s="37"/>
      <c r="D2" s="37"/>
      <c r="E2" s="37"/>
      <c r="F2" s="37"/>
      <c r="G2" s="37"/>
      <c r="H2" s="39" t="s">
        <v>0</v>
      </c>
      <c r="J2" s="120">
        <f>E32</f>
        <v>50000</v>
      </c>
      <c r="K2" s="120">
        <f t="shared" ref="K2:M2" si="0">F32</f>
        <v>0</v>
      </c>
      <c r="L2" s="120">
        <f t="shared" si="0"/>
        <v>0</v>
      </c>
      <c r="M2" s="120">
        <f t="shared" si="0"/>
        <v>1000</v>
      </c>
    </row>
    <row r="3" spans="1:13" ht="14.1" customHeight="1">
      <c r="B3" s="40"/>
      <c r="C3" s="40"/>
      <c r="D3" s="40"/>
      <c r="E3" s="40"/>
      <c r="F3" s="40"/>
      <c r="G3" s="40"/>
      <c r="H3" s="40"/>
      <c r="J3" s="121">
        <f>C37</f>
        <v>0.48499999999999999</v>
      </c>
      <c r="K3" s="121"/>
      <c r="L3" s="121"/>
      <c r="M3" s="121"/>
    </row>
    <row r="4" spans="1:13" ht="23.25" customHeight="1">
      <c r="B4" s="40"/>
      <c r="C4" s="40"/>
      <c r="D4" s="40"/>
      <c r="E4" s="316" t="s">
        <v>317</v>
      </c>
      <c r="F4" s="316"/>
      <c r="G4" s="41"/>
      <c r="H4" s="40"/>
      <c r="J4" s="121">
        <f t="shared" ref="J4:J6" si="1">C38</f>
        <v>0.51500000000000001</v>
      </c>
    </row>
    <row r="5" spans="1:13" ht="14.1" customHeight="1">
      <c r="B5" s="42"/>
      <c r="C5" s="42"/>
      <c r="D5" s="312" t="str">
        <f>'Operating Budget'!B106</f>
        <v>Allocation of Community Service</v>
      </c>
      <c r="E5" s="312"/>
      <c r="F5" s="312"/>
      <c r="G5" s="312"/>
      <c r="H5" s="43"/>
      <c r="J5" s="121">
        <f t="shared" si="1"/>
        <v>0</v>
      </c>
    </row>
    <row r="6" spans="1:13" ht="19.5" customHeight="1">
      <c r="B6" s="40"/>
      <c r="C6" s="40"/>
      <c r="D6" s="40"/>
      <c r="E6" s="40"/>
      <c r="H6" s="40"/>
      <c r="J6" s="121">
        <f t="shared" si="1"/>
        <v>0</v>
      </c>
    </row>
    <row r="7" spans="1:13" ht="14.1" hidden="1" customHeight="1">
      <c r="B7" s="40"/>
      <c r="C7" s="40"/>
      <c r="D7" s="40"/>
      <c r="E7" s="40"/>
      <c r="F7" s="44"/>
      <c r="G7" s="44"/>
      <c r="H7" s="40"/>
    </row>
    <row r="8" spans="1:13" ht="14.1" customHeight="1">
      <c r="B8" s="41" t="s">
        <v>2</v>
      </c>
      <c r="C8" s="69" t="str">
        <f>'Operating Budget'!C106</f>
        <v>N/A</v>
      </c>
      <c r="D8" s="40"/>
      <c r="E8" s="40"/>
      <c r="F8" s="40"/>
      <c r="G8" s="40"/>
      <c r="H8" s="40"/>
    </row>
    <row r="9" spans="1:13" ht="14.1" customHeight="1">
      <c r="B9" s="41" t="s">
        <v>3</v>
      </c>
      <c r="C9" s="69">
        <v>61</v>
      </c>
      <c r="D9" s="40"/>
      <c r="E9" s="40"/>
      <c r="F9" s="40"/>
      <c r="G9" s="40"/>
      <c r="H9" s="40"/>
    </row>
    <row r="10" spans="1:13" ht="14.1" customHeight="1">
      <c r="B10" s="40"/>
      <c r="C10" s="40"/>
      <c r="D10" s="40"/>
      <c r="E10" s="40"/>
      <c r="F10" s="40"/>
      <c r="G10" s="40"/>
      <c r="H10" s="40"/>
    </row>
    <row r="11" spans="1:13" ht="14.1" hidden="1" customHeight="1">
      <c r="B11" s="40"/>
      <c r="C11" s="40"/>
      <c r="D11" s="40"/>
      <c r="E11" s="40"/>
      <c r="F11" s="40"/>
      <c r="G11" s="40"/>
      <c r="H11" s="40"/>
    </row>
    <row r="12" spans="1:13" ht="14.1" customHeight="1">
      <c r="B12" s="41" t="s">
        <v>4</v>
      </c>
      <c r="C12" s="40"/>
      <c r="D12" s="40"/>
      <c r="E12" s="40"/>
      <c r="F12" s="40"/>
      <c r="G12" s="40"/>
      <c r="H12" s="40"/>
    </row>
    <row r="13" spans="1:13" ht="14.1" customHeight="1">
      <c r="B13" s="319" t="s">
        <v>318</v>
      </c>
      <c r="C13" s="319"/>
      <c r="D13" s="319"/>
      <c r="E13" s="319"/>
      <c r="F13" s="319"/>
      <c r="G13" s="319"/>
      <c r="H13" s="319"/>
    </row>
    <row r="14" spans="1:13" ht="14.1" hidden="1" customHeight="1">
      <c r="B14" s="319"/>
      <c r="C14" s="319"/>
      <c r="D14" s="319"/>
      <c r="E14" s="319"/>
      <c r="F14" s="319"/>
      <c r="G14" s="319"/>
      <c r="H14" s="319"/>
    </row>
    <row r="15" spans="1:13" ht="14.1" customHeight="1">
      <c r="B15" s="45"/>
      <c r="C15" s="45"/>
      <c r="D15" s="45"/>
      <c r="E15" s="45"/>
      <c r="F15" s="45"/>
      <c r="G15" s="45"/>
      <c r="H15" s="45"/>
    </row>
    <row r="16" spans="1:13" ht="14.1" customHeight="1">
      <c r="B16" s="41" t="str">
        <f>"Changes for FY "&amp;MASTER!$B$4&amp;" - "&amp;MASTER!$B$5&amp;":"</f>
        <v>Changes for FY 2021 - 2022:</v>
      </c>
      <c r="C16" s="45"/>
      <c r="D16" s="45"/>
      <c r="E16" s="45"/>
      <c r="F16" s="45"/>
      <c r="G16" s="45"/>
      <c r="H16" s="45"/>
    </row>
    <row r="17" spans="2:13" ht="14.1" customHeight="1">
      <c r="B17" s="319"/>
      <c r="C17" s="319"/>
      <c r="D17" s="319"/>
      <c r="E17" s="319"/>
      <c r="F17" s="319"/>
      <c r="G17" s="319"/>
      <c r="H17" s="319"/>
    </row>
    <row r="18" spans="2:13" ht="14.1" hidden="1" customHeight="1">
      <c r="B18" s="319"/>
      <c r="C18" s="319"/>
      <c r="D18" s="319"/>
      <c r="E18" s="319"/>
      <c r="F18" s="319"/>
      <c r="G18" s="319"/>
      <c r="H18" s="319"/>
    </row>
    <row r="19" spans="2:13" ht="14.1" customHeight="1">
      <c r="B19" s="310"/>
      <c r="C19" s="310"/>
      <c r="D19" s="310"/>
      <c r="E19" s="310"/>
      <c r="F19" s="310"/>
      <c r="G19" s="310"/>
      <c r="H19" s="310"/>
    </row>
    <row r="20" spans="2:13" s="5" customFormat="1" ht="14.1" customHeight="1">
      <c r="B20" s="36" t="s">
        <v>7</v>
      </c>
      <c r="C20" s="37"/>
      <c r="D20" s="37"/>
      <c r="E20" s="37"/>
      <c r="F20" s="37"/>
      <c r="G20" s="37"/>
      <c r="H20" s="38"/>
    </row>
    <row r="21" spans="2:13" s="5" customFormat="1" ht="14.1" customHeight="1">
      <c r="B21" s="40"/>
      <c r="C21" s="41"/>
      <c r="D21" s="40"/>
      <c r="E21" s="40"/>
      <c r="F21" s="40"/>
      <c r="G21" s="40"/>
      <c r="H21" s="40"/>
    </row>
    <row r="22" spans="2:13" s="5" customFormat="1" ht="14.1" customHeight="1">
      <c r="B22" s="67" t="str">
        <f>$D$5</f>
        <v>Allocation of Community Service</v>
      </c>
      <c r="C22" s="67"/>
      <c r="D22" s="68"/>
      <c r="E22" s="68"/>
      <c r="F22" s="68" t="s">
        <v>10</v>
      </c>
      <c r="G22" s="69" t="s">
        <v>31</v>
      </c>
      <c r="H22" s="40"/>
      <c r="J22" s="73" t="s">
        <v>32</v>
      </c>
      <c r="K22" s="73" t="s">
        <v>33</v>
      </c>
      <c r="L22" s="73" t="s">
        <v>34</v>
      </c>
      <c r="M22" s="73" t="s">
        <v>35</v>
      </c>
    </row>
    <row r="23" spans="2:13" s="5" customFormat="1" ht="14.1" customHeight="1">
      <c r="B23" s="5" t="s">
        <v>319</v>
      </c>
      <c r="C23" s="57"/>
      <c r="D23" s="80"/>
      <c r="E23" s="66"/>
      <c r="F23" s="66">
        <v>100</v>
      </c>
      <c r="G23" s="71" t="s">
        <v>256</v>
      </c>
      <c r="H23" s="40"/>
      <c r="J23" s="74">
        <f>INDEX(MASTER!$C$25:$F$42,MATCH($G23,allocation,0),MATCH(J$22,MASTER!$C$24:$F$24,0))</f>
        <v>0.48499999999999999</v>
      </c>
      <c r="K23" s="74">
        <f>INDEX(MASTER!$C$25:$F$42,MATCH($G23,allocation,0),MATCH(K$22,MASTER!$C$24:$F$24,0))</f>
        <v>0.51500000000000001</v>
      </c>
      <c r="L23" s="74">
        <f>INDEX(MASTER!$C$25:$F$42,MATCH($G23,allocation,0),MATCH(L$22,MASTER!$C$24:$F$24,0))</f>
        <v>0</v>
      </c>
      <c r="M23" s="74">
        <f>INDEX(MASTER!$C$25:$F$42,MATCH($G23,allocation,0),MATCH(M$22,MASTER!$C$24:$F$24,0))</f>
        <v>0</v>
      </c>
    </row>
    <row r="24" spans="2:13" s="5" customFormat="1" ht="14.1" customHeight="1" thickBot="1">
      <c r="B24" s="49" t="s">
        <v>10</v>
      </c>
      <c r="C24" s="49"/>
      <c r="D24" s="49"/>
      <c r="E24" s="49"/>
      <c r="F24" s="50">
        <f>SUM(F23:F23)</f>
        <v>100</v>
      </c>
      <c r="G24" s="49"/>
      <c r="H24" s="40"/>
    </row>
    <row r="25" spans="2:13" s="5" customFormat="1" ht="14.1" customHeight="1" thickTop="1">
      <c r="B25" s="40"/>
      <c r="C25" s="41"/>
      <c r="G25" s="40"/>
      <c r="H25" s="40"/>
    </row>
    <row r="26" spans="2:13" s="5" customFormat="1" ht="14.1" customHeight="1">
      <c r="B26" s="41" t="s">
        <v>11</v>
      </c>
      <c r="C26" s="35">
        <f>ROUNDUP($F$24,-$B$27)</f>
        <v>1000</v>
      </c>
      <c r="F26" s="40"/>
      <c r="G26" s="40"/>
      <c r="H26" s="40"/>
    </row>
    <row r="27" spans="2:13" s="5" customFormat="1" ht="14.1" customHeight="1">
      <c r="B27" s="51">
        <v>3</v>
      </c>
      <c r="C27" s="41"/>
      <c r="D27" s="40"/>
      <c r="E27" s="40"/>
      <c r="F27" s="40"/>
      <c r="G27" s="40"/>
      <c r="H27" s="40"/>
    </row>
    <row r="28" spans="2:13" s="5" customFormat="1" ht="14.1" customHeight="1">
      <c r="B28" s="40"/>
      <c r="C28" s="41"/>
      <c r="D28" s="40"/>
      <c r="E28" s="40"/>
      <c r="F28" s="40"/>
      <c r="G28" s="40"/>
      <c r="H28" s="40"/>
    </row>
    <row r="29" spans="2:13" s="5" customFormat="1" ht="14.1" customHeight="1">
      <c r="B29" s="40"/>
      <c r="C29" s="41"/>
      <c r="D29" s="40"/>
      <c r="E29" s="53" t="s">
        <v>12</v>
      </c>
      <c r="F29" s="54" t="s">
        <v>13</v>
      </c>
      <c r="G29" s="54" t="s">
        <v>14</v>
      </c>
      <c r="H29" s="55" t="s">
        <v>15</v>
      </c>
    </row>
    <row r="30" spans="2:13" s="5" customFormat="1" ht="14.1" customHeight="1">
      <c r="B30" s="36"/>
      <c r="C30" s="36"/>
      <c r="D30" s="36"/>
      <c r="E30" s="53" t="str">
        <f>"FY "&amp;MASTER!$B$4-1&amp;" - "&amp;MASTER!$B$4</f>
        <v>FY 2020 - 2021</v>
      </c>
      <c r="F30" s="56">
        <f>MASTER!$B$6</f>
        <v>44255</v>
      </c>
      <c r="G30" s="54" t="str">
        <f>"June "&amp;MASTER!$B$4</f>
        <v>June 2021</v>
      </c>
      <c r="H30" s="55" t="str">
        <f>"FY "&amp;MASTER!$B$4&amp;" - "&amp;MASTER!$B$5</f>
        <v>FY 2021 - 2022</v>
      </c>
    </row>
    <row r="31" spans="2:13" s="5" customFormat="1" ht="14.1" customHeight="1">
      <c r="B31" s="57"/>
      <c r="C31" s="57"/>
      <c r="D31" s="58"/>
      <c r="E31" s="59"/>
      <c r="F31" s="60"/>
      <c r="G31" s="60"/>
      <c r="H31" s="58"/>
    </row>
    <row r="32" spans="2:13" s="5" customFormat="1" ht="14.1" customHeight="1">
      <c r="B32" s="40" t="str">
        <f>$D$5</f>
        <v>Allocation of Community Service</v>
      </c>
      <c r="C32" s="41"/>
      <c r="D32" s="58"/>
      <c r="E32" s="61">
        <v>50000</v>
      </c>
      <c r="F32" s="62">
        <v>0</v>
      </c>
      <c r="G32" s="62">
        <v>0</v>
      </c>
      <c r="H32" s="63">
        <f>$C$26</f>
        <v>1000</v>
      </c>
    </row>
    <row r="33" spans="2:253" s="5" customFormat="1" ht="14.1" customHeight="1">
      <c r="B33" s="40"/>
      <c r="C33" s="41"/>
      <c r="D33" s="58"/>
      <c r="E33" s="59"/>
      <c r="F33" s="59"/>
      <c r="G33" s="58"/>
      <c r="H33" s="82"/>
    </row>
    <row r="34" spans="2:253" s="5" customFormat="1" ht="14.1" customHeight="1">
      <c r="B34" s="40"/>
      <c r="C34" s="41"/>
      <c r="D34" s="58"/>
      <c r="E34" s="58"/>
      <c r="F34" s="58"/>
      <c r="G34" s="58"/>
      <c r="H34" s="63"/>
    </row>
    <row r="35" spans="2:253" s="5" customFormat="1" ht="14.1" customHeight="1">
      <c r="B35" s="2"/>
      <c r="C35" s="1"/>
    </row>
    <row r="36" spans="2:253" s="5" customFormat="1" ht="14.1" customHeight="1">
      <c r="B36" s="36" t="s">
        <v>39</v>
      </c>
      <c r="C36" s="36"/>
      <c r="D36" s="55" t="s">
        <v>40</v>
      </c>
      <c r="E36" s="55" t="s">
        <v>41</v>
      </c>
    </row>
    <row r="37" spans="2:253" s="5" customFormat="1" ht="14.1" customHeight="1">
      <c r="B37" s="75" t="s">
        <v>32</v>
      </c>
      <c r="C37" s="84">
        <f>E37/E41</f>
        <v>0.48499999999999999</v>
      </c>
      <c r="D37" s="78">
        <f>SUMPRODUCT($F$23:$F$23,$J$23:$J$23)</f>
        <v>48.5</v>
      </c>
      <c r="E37" s="78">
        <f>$D37+($C$26-SUM($D$37:$D$40))*($D37/$D$41)</f>
        <v>485</v>
      </c>
    </row>
    <row r="38" spans="2:253" s="5" customFormat="1" ht="14.1" customHeight="1">
      <c r="B38" s="75" t="s">
        <v>33</v>
      </c>
      <c r="C38" s="84">
        <f>E38/E41</f>
        <v>0.51500000000000001</v>
      </c>
      <c r="D38" s="78">
        <f>SUMPRODUCT($F$23:$F$23,$K$23:$K$23)</f>
        <v>51.5</v>
      </c>
      <c r="E38" s="78">
        <f>$D38+($C$26-SUM($D$37:$D$40))*($D38/$D$41)</f>
        <v>515</v>
      </c>
    </row>
    <row r="39" spans="2:253" s="5" customFormat="1" ht="14.1" customHeight="1">
      <c r="B39" s="75" t="s">
        <v>34</v>
      </c>
      <c r="C39" s="84">
        <f>E39/E41</f>
        <v>0</v>
      </c>
      <c r="D39" s="78">
        <f>SUMPRODUCT($F$23:$F$23,$L$23:$L$23)</f>
        <v>0</v>
      </c>
      <c r="E39" s="78">
        <f>$D39+($C$26-SUM($D$37:$D$40))*($D39/$D$41)</f>
        <v>0</v>
      </c>
    </row>
    <row r="40" spans="2:253" s="5" customFormat="1" ht="14.1" customHeight="1">
      <c r="B40" s="75" t="s">
        <v>35</v>
      </c>
      <c r="C40" s="84">
        <f>E40/E41</f>
        <v>0</v>
      </c>
      <c r="D40" s="78">
        <f>SUMPRODUCT($F$23:$F$23,$M$23:$M$23)</f>
        <v>0</v>
      </c>
      <c r="E40" s="78">
        <f>$D40+($C$26-SUM($D$37:$D$40))*($D40/$D$41)</f>
        <v>0</v>
      </c>
    </row>
    <row r="41" spans="2:253" s="5" customFormat="1" ht="12.75" customHeight="1">
      <c r="B41" s="77" t="s">
        <v>10</v>
      </c>
      <c r="C41" s="85">
        <f>SUM(C37:C40)</f>
        <v>1</v>
      </c>
      <c r="D41" s="79">
        <f>SUM(D37:D40)</f>
        <v>100</v>
      </c>
      <c r="E41" s="79">
        <f>SUM(E37:E40)</f>
        <v>1000</v>
      </c>
    </row>
    <row r="42" spans="2:253" s="5" customFormat="1" ht="12.75" customHeight="1">
      <c r="B42" s="2"/>
      <c r="C42" s="2"/>
      <c r="D42" s="2"/>
      <c r="E42" s="76"/>
    </row>
    <row r="43" spans="2:253" s="5" customFormat="1" ht="12.75" customHeight="1">
      <c r="E43" s="20"/>
      <c r="F43" s="6"/>
    </row>
    <row r="44" spans="2:253" s="5" customFormat="1" ht="12.75" customHeight="1">
      <c r="E44" s="20"/>
    </row>
    <row r="45" spans="2:253" s="5" customFormat="1" ht="12.75" customHeight="1">
      <c r="D45" s="21"/>
      <c r="E45" s="20"/>
    </row>
    <row r="46" spans="2:253" s="5" customFormat="1" ht="12.75" customHeight="1">
      <c r="D46" s="21"/>
      <c r="E46" s="20"/>
    </row>
    <row r="47" spans="2:253" s="5" customFormat="1" ht="12.75" customHeight="1">
      <c r="E47" s="20"/>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row>
    <row r="48" spans="2:253" s="5" customFormat="1" ht="12.75" customHeight="1">
      <c r="D48" s="21"/>
      <c r="E48" s="20"/>
    </row>
    <row r="49" spans="4:5" s="5" customFormat="1" ht="12.75" customHeight="1">
      <c r="E49" s="20"/>
    </row>
    <row r="50" spans="4:5" ht="12.75" customHeight="1">
      <c r="E50" s="20"/>
    </row>
    <row r="51" spans="4:5" ht="12.75" customHeight="1">
      <c r="E51" s="4"/>
    </row>
    <row r="52" spans="4:5">
      <c r="E52" s="3"/>
    </row>
    <row r="64" spans="4:5">
      <c r="D64" s="3"/>
      <c r="E64" s="3"/>
    </row>
  </sheetData>
  <mergeCells count="4">
    <mergeCell ref="E4:F4"/>
    <mergeCell ref="D5:G5"/>
    <mergeCell ref="B13:H14"/>
    <mergeCell ref="B17:H18"/>
  </mergeCells>
  <dataValidations count="2">
    <dataValidation type="list" allowBlank="1" showInputMessage="1" showErrorMessage="1" sqref="G23" xr:uid="{00000000-0002-0000-4200-000000000000}">
      <formula1>allocation</formula1>
    </dataValidation>
    <dataValidation type="list" allowBlank="1" showInputMessage="1" showErrorMessage="1" sqref="E4" xr:uid="{00000000-0002-0000-4200-000001000000}">
      <formula1>enterprise</formula1>
    </dataValidation>
  </dataValidations>
  <pageMargins left="0.7" right="0.7" top="0.75" bottom="0.75" header="0.3" footer="0.3"/>
  <pageSetup scale="94" fitToHeight="0" orientation="portrait"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E82"/>
  <sheetViews>
    <sheetView topLeftCell="C52" zoomScale="145" zoomScaleNormal="145" workbookViewId="0">
      <selection activeCell="C44" sqref="C44"/>
    </sheetView>
  </sheetViews>
  <sheetFormatPr defaultColWidth="8.85546875" defaultRowHeight="12.75"/>
  <cols>
    <col min="1" max="1" width="18.7109375" customWidth="1"/>
    <col min="2" max="2" width="32.42578125" customWidth="1"/>
    <col min="3" max="14" width="18.7109375" customWidth="1"/>
  </cols>
  <sheetData>
    <row r="3" spans="2:5">
      <c r="B3" s="180" t="s">
        <v>320</v>
      </c>
      <c r="C3" s="181"/>
      <c r="D3" s="181"/>
      <c r="E3" s="181"/>
    </row>
    <row r="5" spans="2:5">
      <c r="C5" s="176" t="s">
        <v>321</v>
      </c>
      <c r="D5" s="176" t="s">
        <v>14</v>
      </c>
      <c r="E5" s="176" t="s">
        <v>322</v>
      </c>
    </row>
    <row r="6" spans="2:5">
      <c r="B6" t="str">
        <f t="shared" ref="B6:B12" si="0">B38</f>
        <v>Total Water System Expense</v>
      </c>
      <c r="C6" s="172">
        <f ca="1">'Operating Budget'!D28</f>
        <v>1075600</v>
      </c>
      <c r="D6" s="172">
        <f ca="1">'Operating Budget'!F28</f>
        <v>919420</v>
      </c>
      <c r="E6" s="177">
        <f t="shared" ref="E6:E12" ca="1" si="1">(D6-C6)/C6</f>
        <v>-0.1452026775753068</v>
      </c>
    </row>
    <row r="7" spans="2:5">
      <c r="B7" t="str">
        <f t="shared" si="0"/>
        <v>Total Sewer System Expense</v>
      </c>
      <c r="C7" s="172">
        <f ca="1">'Operating Budget'!D35</f>
        <v>1131000</v>
      </c>
      <c r="D7" s="172">
        <f ca="1">'Operating Budget'!F35</f>
        <v>1090208</v>
      </c>
      <c r="E7" s="177">
        <f t="shared" ca="1" si="1"/>
        <v>-3.6067197170645444E-2</v>
      </c>
    </row>
    <row r="8" spans="2:5">
      <c r="B8" t="str">
        <f t="shared" si="0"/>
        <v>Total Trash Expense</v>
      </c>
      <c r="C8" s="172">
        <f ca="1">'Operating Budget'!D39</f>
        <v>600000</v>
      </c>
      <c r="D8" s="172">
        <f ca="1">'Operating Budget'!F39</f>
        <v>572920</v>
      </c>
      <c r="E8" s="177">
        <f t="shared" ca="1" si="1"/>
        <v>-4.5133333333333331E-2</v>
      </c>
    </row>
    <row r="9" spans="2:5">
      <c r="B9" t="str">
        <f t="shared" si="0"/>
        <v>Total Maintenance Expenses</v>
      </c>
      <c r="C9" s="172">
        <f ca="1">'Operating Budget'!D50</f>
        <v>54500</v>
      </c>
      <c r="D9" s="172">
        <f ca="1">'Operating Budget'!F50</f>
        <v>42000</v>
      </c>
      <c r="E9" s="177">
        <f t="shared" ca="1" si="1"/>
        <v>-0.22935779816513763</v>
      </c>
    </row>
    <row r="10" spans="2:5">
      <c r="B10" t="str">
        <f t="shared" si="0"/>
        <v>Total Salaries &amp; Benefits</v>
      </c>
      <c r="C10" s="172">
        <f ca="1">'Operating Budget'!D60</f>
        <v>999100</v>
      </c>
      <c r="D10" s="172">
        <f ca="1">'Operating Budget'!F60</f>
        <v>1011930</v>
      </c>
      <c r="E10" s="177">
        <f t="shared" ca="1" si="1"/>
        <v>1.2841557401661496E-2</v>
      </c>
    </row>
    <row r="11" spans="2:5">
      <c r="B11" t="str">
        <f t="shared" si="0"/>
        <v>Total Administrative Expenses</v>
      </c>
      <c r="C11" s="172">
        <f ca="1">'Operating Budget'!D87</f>
        <v>466000</v>
      </c>
      <c r="D11" s="172">
        <f ca="1">'Operating Budget'!F87</f>
        <v>340050</v>
      </c>
      <c r="E11" s="177">
        <f t="shared" ca="1" si="1"/>
        <v>-0.27027896995708156</v>
      </c>
    </row>
    <row r="12" spans="2:5">
      <c r="B12" t="str">
        <f t="shared" si="0"/>
        <v>TOTAL OPERATING EXPENSES</v>
      </c>
      <c r="C12" s="175">
        <f ca="1">SUM(C6:C11)</f>
        <v>4326200</v>
      </c>
      <c r="D12" s="175">
        <f ca="1">SUM(D6:D11)</f>
        <v>3976528</v>
      </c>
      <c r="E12" s="179">
        <f t="shared" ca="1" si="1"/>
        <v>-8.0826591465951642E-2</v>
      </c>
    </row>
    <row r="15" spans="2:5">
      <c r="B15" s="180" t="s">
        <v>323</v>
      </c>
    </row>
    <row r="17" spans="1:5">
      <c r="A17" s="176">
        <f>'Operating Budget'!A26</f>
        <v>9</v>
      </c>
      <c r="B17" s="221" t="str">
        <f>'Operating Budget'!B26</f>
        <v>Water Repair &amp; Maintenance</v>
      </c>
      <c r="C17" s="4">
        <f>'Operating Budget'!D26</f>
        <v>130000</v>
      </c>
      <c r="D17" s="4">
        <f>'Operating Budget'!F26</f>
        <v>130000</v>
      </c>
      <c r="E17" s="220">
        <f>D17/C17</f>
        <v>1</v>
      </c>
    </row>
    <row r="18" spans="1:5">
      <c r="A18" s="176">
        <f>'Operating Budget'!A43</f>
        <v>17</v>
      </c>
      <c r="B18" t="str">
        <f>'Operating Budget'!B43</f>
        <v>Vehicle Maintenance</v>
      </c>
      <c r="C18" s="4">
        <f ca="1">'Operating Budget'!D43</f>
        <v>12000</v>
      </c>
      <c r="D18" s="4">
        <f ca="1">'Operating Budget'!F43</f>
        <v>11000</v>
      </c>
      <c r="E18" s="220">
        <f t="shared" ref="E18:E25" ca="1" si="2">D18/C18</f>
        <v>0.91666666666666663</v>
      </c>
    </row>
    <row r="19" spans="1:5">
      <c r="A19" s="176">
        <f>'Operating Budget'!A78</f>
        <v>46</v>
      </c>
      <c r="B19" t="str">
        <f>'Operating Budget'!B78</f>
        <v>Insurance</v>
      </c>
      <c r="C19" s="4">
        <f ca="1">'Operating Budget'!D78</f>
        <v>39000</v>
      </c>
      <c r="D19" s="4">
        <f ca="1">'Operating Budget'!F78</f>
        <v>36900</v>
      </c>
      <c r="E19" s="220">
        <f t="shared" ca="1" si="2"/>
        <v>0.94615384615384612</v>
      </c>
    </row>
    <row r="20" spans="1:5">
      <c r="A20" s="176">
        <f>'Operating Budget'!A79</f>
        <v>47</v>
      </c>
      <c r="B20" t="str">
        <f>'Operating Budget'!B79</f>
        <v>Legal Services</v>
      </c>
      <c r="C20" s="4">
        <f ca="1">'Operating Budget'!D79</f>
        <v>60000</v>
      </c>
      <c r="D20" s="4">
        <f ca="1">'Operating Budget'!F79</f>
        <v>40000</v>
      </c>
      <c r="E20" s="220">
        <f t="shared" ca="1" si="2"/>
        <v>0.66666666666666663</v>
      </c>
    </row>
    <row r="21" spans="1:5">
      <c r="A21" s="176"/>
    </row>
    <row r="22" spans="1:5">
      <c r="A22" s="176">
        <f>'Operating Budget'!A21</f>
        <v>4</v>
      </c>
      <c r="B22" s="221" t="str">
        <f>'Operating Budget'!B21</f>
        <v>PHWA Water Contract</v>
      </c>
      <c r="C22" s="4">
        <f ca="1">'Operating Budget'!D21</f>
        <v>900000</v>
      </c>
      <c r="D22" s="4">
        <f ca="1">'Operating Budget'!F21</f>
        <v>744400</v>
      </c>
      <c r="E22" s="220">
        <f t="shared" ca="1" si="2"/>
        <v>0.82711111111111113</v>
      </c>
    </row>
    <row r="23" spans="1:5">
      <c r="A23" s="176">
        <f>'Operating Budget'!A55</f>
        <v>26</v>
      </c>
      <c r="B23" s="221" t="str">
        <f>'Operating Budget'!B55</f>
        <v>Group Insurance</v>
      </c>
      <c r="C23" s="4">
        <f ca="1">'Operating Budget'!D55</f>
        <v>128000</v>
      </c>
      <c r="D23" s="4">
        <f ca="1">'Operating Budget'!F55</f>
        <v>110000</v>
      </c>
      <c r="E23" s="220">
        <f t="shared" ca="1" si="2"/>
        <v>0.859375</v>
      </c>
    </row>
    <row r="24" spans="1:5">
      <c r="A24" s="176">
        <f>'Operating Budget'!A42</f>
        <v>16</v>
      </c>
      <c r="B24" s="221" t="str">
        <f>'Operating Budget'!B42</f>
        <v>Gasoline</v>
      </c>
      <c r="C24" s="4">
        <f ca="1">'Operating Budget'!D42</f>
        <v>15000</v>
      </c>
      <c r="D24" s="4">
        <f ca="1">'Operating Budget'!F42</f>
        <v>10000</v>
      </c>
      <c r="E24" s="220">
        <f t="shared" ca="1" si="2"/>
        <v>0.66666666666666663</v>
      </c>
    </row>
    <row r="25" spans="1:5">
      <c r="A25" s="176">
        <f>'Operating Budget'!A86</f>
        <v>54</v>
      </c>
      <c r="B25" s="221" t="str">
        <f>'Operating Budget'!B86</f>
        <v>Public Information &amp; Outreach</v>
      </c>
      <c r="C25" s="4">
        <f ca="1">'Operating Budget'!D86</f>
        <v>14000</v>
      </c>
      <c r="D25" s="4">
        <f ca="1">'Operating Budget'!F86</f>
        <v>5000</v>
      </c>
      <c r="E25" s="220">
        <f t="shared" ca="1" si="2"/>
        <v>0.35714285714285715</v>
      </c>
    </row>
    <row r="29" spans="1:5">
      <c r="B29" s="180" t="s">
        <v>324</v>
      </c>
      <c r="C29" s="181"/>
      <c r="D29" s="181"/>
      <c r="E29" s="181"/>
    </row>
    <row r="31" spans="1:5">
      <c r="C31" s="173" t="str">
        <f>'Operating Budget'!$D$6</f>
        <v>Adopted</v>
      </c>
      <c r="D31" s="173" t="str">
        <f>'Operating Budget'!$G$6</f>
        <v>Proposed</v>
      </c>
    </row>
    <row r="32" spans="1:5">
      <c r="C32" s="173" t="str">
        <f>'Operating Budget'!$D$7</f>
        <v>FY 2020 - 2021</v>
      </c>
      <c r="D32" s="173" t="str">
        <f>'Operating Budget'!$G$7</f>
        <v>FY 2021 - 2022</v>
      </c>
      <c r="E32" s="176" t="s">
        <v>322</v>
      </c>
    </row>
    <row r="33" spans="2:5">
      <c r="B33" t="str">
        <f>'Operating Budget'!B15</f>
        <v>Total Rate Revenues</v>
      </c>
      <c r="C33" s="172">
        <f>'Operating Budget'!D15</f>
        <v>5414000</v>
      </c>
      <c r="D33" s="172">
        <f>'Operating Budget'!G15</f>
        <v>5571000</v>
      </c>
      <c r="E33" s="177">
        <f>(D33-C33)/C33</f>
        <v>2.8998891762098265E-2</v>
      </c>
    </row>
    <row r="34" spans="2:5">
      <c r="E34" s="178"/>
    </row>
    <row r="35" spans="2:5">
      <c r="E35" s="178"/>
    </row>
    <row r="36" spans="2:5">
      <c r="C36" s="173" t="str">
        <f>'Operating Budget'!$D$6</f>
        <v>Adopted</v>
      </c>
      <c r="D36" s="173" t="str">
        <f>'Operating Budget'!$G$6</f>
        <v>Proposed</v>
      </c>
      <c r="E36" s="178"/>
    </row>
    <row r="37" spans="2:5">
      <c r="C37" s="173" t="str">
        <f>'Operating Budget'!$D$7</f>
        <v>FY 2020 - 2021</v>
      </c>
      <c r="D37" s="173" t="str">
        <f>'Operating Budget'!$G$7</f>
        <v>FY 2021 - 2022</v>
      </c>
      <c r="E37" s="176" t="s">
        <v>322</v>
      </c>
    </row>
    <row r="38" spans="2:5">
      <c r="B38" t="str">
        <f>'Operating Budget'!B28</f>
        <v>Total Water System Expense</v>
      </c>
      <c r="C38" s="172">
        <f ca="1">'Operating Budget'!D28</f>
        <v>1075600</v>
      </c>
      <c r="D38" s="172">
        <f ca="1">'Operating Budget'!G28</f>
        <v>1178600</v>
      </c>
      <c r="E38" s="177">
        <f t="shared" ref="E38:E44" ca="1" si="3">(D38-C38)/C38</f>
        <v>9.5760505764224624E-2</v>
      </c>
    </row>
    <row r="39" spans="2:5">
      <c r="B39" t="str">
        <f>'Operating Budget'!B35</f>
        <v>Total Sewer System Expense</v>
      </c>
      <c r="C39" s="172">
        <f ca="1">'Operating Budget'!D35</f>
        <v>1131000</v>
      </c>
      <c r="D39" s="172">
        <f ca="1">'Operating Budget'!G35</f>
        <v>1104000</v>
      </c>
      <c r="E39" s="177">
        <f t="shared" ca="1" si="3"/>
        <v>-2.3872679045092837E-2</v>
      </c>
    </row>
    <row r="40" spans="2:5">
      <c r="B40" t="str">
        <f>'Operating Budget'!B39</f>
        <v>Total Trash Expense</v>
      </c>
      <c r="C40" s="172">
        <f ca="1">'Operating Budget'!D39</f>
        <v>600000</v>
      </c>
      <c r="D40" s="172">
        <f ca="1">'Operating Budget'!G39</f>
        <v>600000</v>
      </c>
      <c r="E40" s="177">
        <f t="shared" ca="1" si="3"/>
        <v>0</v>
      </c>
    </row>
    <row r="41" spans="2:5">
      <c r="B41" t="str">
        <f>'Operating Budget'!B50</f>
        <v>Total Maintenance Expenses</v>
      </c>
      <c r="C41" s="172">
        <f ca="1">'Operating Budget'!D50</f>
        <v>54500</v>
      </c>
      <c r="D41" s="172">
        <f ca="1">'Operating Budget'!G50</f>
        <v>59500</v>
      </c>
      <c r="E41" s="177">
        <f t="shared" ca="1" si="3"/>
        <v>9.1743119266055051E-2</v>
      </c>
    </row>
    <row r="42" spans="2:5">
      <c r="B42" t="str">
        <f>'Operating Budget'!B60</f>
        <v>Total Salaries &amp; Benefits</v>
      </c>
      <c r="C42" s="172">
        <f ca="1">'Operating Budget'!D60</f>
        <v>999100</v>
      </c>
      <c r="D42" s="172">
        <f ca="1">'Operating Budget'!G60</f>
        <v>1081600</v>
      </c>
      <c r="E42" s="177">
        <f t="shared" ca="1" si="3"/>
        <v>8.2574316885196675E-2</v>
      </c>
    </row>
    <row r="43" spans="2:5">
      <c r="B43" t="str">
        <f>'Operating Budget'!B87</f>
        <v>Total Administrative Expenses</v>
      </c>
      <c r="C43" s="172">
        <f ca="1">'Operating Budget'!D87</f>
        <v>466000</v>
      </c>
      <c r="D43" s="172">
        <f ca="1">'Operating Budget'!G87</f>
        <v>445800</v>
      </c>
      <c r="E43" s="177">
        <f t="shared" ca="1" si="3"/>
        <v>-4.3347639484978544E-2</v>
      </c>
    </row>
    <row r="44" spans="2:5">
      <c r="B44" s="174" t="str">
        <f>'Operating Budget'!B89</f>
        <v>TOTAL OPERATING EXPENSES</v>
      </c>
      <c r="C44" s="175">
        <f ca="1">SUM(C38:C43)</f>
        <v>4326200</v>
      </c>
      <c r="D44" s="175">
        <f ca="1">SUM(D38:D43)</f>
        <v>4469500</v>
      </c>
      <c r="E44" s="179">
        <f t="shared" ca="1" si="3"/>
        <v>3.3123757570153949E-2</v>
      </c>
    </row>
    <row r="59" spans="1:5">
      <c r="B59" s="180" t="s">
        <v>323</v>
      </c>
    </row>
    <row r="61" spans="1:5">
      <c r="C61" s="173" t="str">
        <f>'Operating Budget'!$D$6</f>
        <v>Adopted</v>
      </c>
      <c r="D61" s="173" t="str">
        <f>'Operating Budget'!$G$6</f>
        <v>Proposed</v>
      </c>
    </row>
    <row r="62" spans="1:5">
      <c r="C62" s="173" t="str">
        <f>'Operating Budget'!$D$7</f>
        <v>FY 2020 - 2021</v>
      </c>
      <c r="D62" s="173" t="str">
        <f>'Operating Budget'!$G$7</f>
        <v>FY 2021 - 2022</v>
      </c>
      <c r="E62" s="176" t="s">
        <v>322</v>
      </c>
    </row>
    <row r="63" spans="1:5">
      <c r="A63">
        <f>'Operating Budget'!A38</f>
        <v>15</v>
      </c>
      <c r="B63" t="str">
        <f>'Operating Budget'!B38</f>
        <v>Contract Trash Services</v>
      </c>
      <c r="C63" s="4">
        <f ca="1">'Operating Budget'!D38</f>
        <v>600000</v>
      </c>
      <c r="D63" s="4">
        <f ca="1">'Operating Budget'!G38</f>
        <v>600000</v>
      </c>
      <c r="E63" s="177">
        <f t="shared" ref="E63" ca="1" si="4">(D63-C63)/C63</f>
        <v>0</v>
      </c>
    </row>
    <row r="66" spans="1:5">
      <c r="C66" s="173" t="str">
        <f>'Operating Budget'!$D$7</f>
        <v>FY 2020 - 2021</v>
      </c>
      <c r="D66" s="173" t="str">
        <f>'Operating Budget'!$G$7</f>
        <v>FY 2021 - 2022</v>
      </c>
      <c r="E66" s="176" t="s">
        <v>322</v>
      </c>
    </row>
    <row r="67" spans="1:5">
      <c r="A67">
        <f>'Operating Budget'!A27</f>
        <v>10</v>
      </c>
      <c r="B67" t="str">
        <f>'Operating Budget'!B27</f>
        <v>Telemetry</v>
      </c>
      <c r="C67" s="4">
        <f>'Operating Budget'!D27</f>
        <v>10600</v>
      </c>
      <c r="D67" s="4">
        <f>'Operating Budget'!G27</f>
        <v>11000</v>
      </c>
      <c r="E67" t="e">
        <f>NA()</f>
        <v>#N/A</v>
      </c>
    </row>
    <row r="70" spans="1:5">
      <c r="B70" t="str">
        <f>'Operating Budget'!B52</f>
        <v>Salaries &amp; Benefits</v>
      </c>
      <c r="C70" s="173" t="str">
        <f>'Operating Budget'!$D$7</f>
        <v>FY 2020 - 2021</v>
      </c>
      <c r="D70" s="173" t="str">
        <f>'Operating Budget'!$G$7</f>
        <v>FY 2021 - 2022</v>
      </c>
      <c r="E70" s="176" t="s">
        <v>322</v>
      </c>
    </row>
    <row r="71" spans="1:5">
      <c r="A71">
        <f>'Operating Budget'!A53</f>
        <v>24</v>
      </c>
      <c r="B71" t="str">
        <f>'Operating Budget'!B53</f>
        <v>Regular Salaries</v>
      </c>
      <c r="C71" s="4">
        <f ca="1">'Operating Budget'!D53</f>
        <v>729600</v>
      </c>
      <c r="D71" s="4">
        <f>'Operating Budget'!G53</f>
        <v>769000</v>
      </c>
      <c r="E71" s="177">
        <f t="shared" ref="E71" ca="1" si="5">(D71-C71)/C71</f>
        <v>5.4002192982456142E-2</v>
      </c>
    </row>
    <row r="72" spans="1:5">
      <c r="A72">
        <f>'Operating Budget'!A54</f>
        <v>25</v>
      </c>
      <c r="B72" t="str">
        <f>'Operating Budget'!B54</f>
        <v>Payroll Taxes</v>
      </c>
      <c r="C72" s="4">
        <f ca="1">'Operating Budget'!D54</f>
        <v>29000</v>
      </c>
      <c r="D72" s="4">
        <f ca="1">'Operating Budget'!G54</f>
        <v>33000</v>
      </c>
      <c r="E72" s="177">
        <f t="shared" ref="E72:E78" ca="1" si="6">(D72-C72)/C72</f>
        <v>0.13793103448275862</v>
      </c>
    </row>
    <row r="73" spans="1:5">
      <c r="A73">
        <f>'Operating Budget'!A55</f>
        <v>26</v>
      </c>
      <c r="B73" t="str">
        <f>'Operating Budget'!B55</f>
        <v>Group Insurance</v>
      </c>
      <c r="C73" s="4">
        <f ca="1">'Operating Budget'!D55</f>
        <v>128000</v>
      </c>
      <c r="D73" s="4">
        <f ca="1">'Operating Budget'!G55</f>
        <v>140000</v>
      </c>
      <c r="E73" s="177">
        <f t="shared" ca="1" si="6"/>
        <v>9.375E-2</v>
      </c>
    </row>
    <row r="74" spans="1:5">
      <c r="A74">
        <f>'Operating Budget'!A56</f>
        <v>27</v>
      </c>
      <c r="B74" t="str">
        <f>'Operating Budget'!B56</f>
        <v>Retirement Benefits</v>
      </c>
      <c r="C74" s="4">
        <f ca="1">'Operating Budget'!D56</f>
        <v>74000</v>
      </c>
      <c r="D74" s="4">
        <f>'Operating Budget'!G56</f>
        <v>104000</v>
      </c>
      <c r="E74" s="177">
        <f t="shared" ca="1" si="6"/>
        <v>0.40540540540540543</v>
      </c>
    </row>
    <row r="75" spans="1:5">
      <c r="A75">
        <f>'Operating Budget'!A57</f>
        <v>28</v>
      </c>
      <c r="B75" t="str">
        <f>'Operating Budget'!B57</f>
        <v>Uniforms</v>
      </c>
      <c r="C75" s="4">
        <f ca="1">'Operating Budget'!D57</f>
        <v>4500</v>
      </c>
      <c r="D75" s="4">
        <f ca="1">'Operating Budget'!G57</f>
        <v>5100</v>
      </c>
      <c r="E75" s="177">
        <f t="shared" ca="1" si="6"/>
        <v>0.13333333333333333</v>
      </c>
    </row>
    <row r="76" spans="1:5">
      <c r="A76">
        <f>'Operating Budget'!A58</f>
        <v>29</v>
      </c>
      <c r="B76" t="str">
        <f>'Operating Budget'!B58</f>
        <v>Workers' Comp Insurance</v>
      </c>
      <c r="C76" s="4">
        <f ca="1">'Operating Budget'!D58</f>
        <v>12000</v>
      </c>
      <c r="D76" s="4">
        <f ca="1">'Operating Budget'!G58</f>
        <v>12500</v>
      </c>
      <c r="E76" s="177">
        <f t="shared" ca="1" si="6"/>
        <v>4.1666666666666664E-2</v>
      </c>
    </row>
    <row r="77" spans="1:5">
      <c r="A77">
        <f>'Operating Budget'!A59</f>
        <v>30</v>
      </c>
      <c r="B77" t="str">
        <f>'Operating Budget'!B59</f>
        <v>Employee Education</v>
      </c>
      <c r="C77" s="4">
        <f ca="1">'Operating Budget'!D59</f>
        <v>22000</v>
      </c>
      <c r="D77" s="4">
        <f ca="1">'Operating Budget'!G59</f>
        <v>18000</v>
      </c>
      <c r="E77" s="177">
        <f t="shared" ca="1" si="6"/>
        <v>-0.18181818181818182</v>
      </c>
    </row>
    <row r="78" spans="1:5">
      <c r="B78" s="174" t="str">
        <f>'Operating Budget'!B60</f>
        <v>Total Salaries &amp; Benefits</v>
      </c>
      <c r="C78" s="175">
        <f ca="1">SUM(C71:C77)</f>
        <v>999100</v>
      </c>
      <c r="D78" s="175">
        <f ca="1">SUM(D71:D77)</f>
        <v>1081600</v>
      </c>
      <c r="E78" s="179">
        <f t="shared" ca="1" si="6"/>
        <v>8.2574316885196675E-2</v>
      </c>
    </row>
    <row r="79" spans="1:5">
      <c r="B79" t="str">
        <f>'Operating Budget'!B61</f>
        <v/>
      </c>
    </row>
    <row r="81" spans="1:5">
      <c r="C81" s="173" t="str">
        <f>'Operating Budget'!$D$7</f>
        <v>FY 2020 - 2021</v>
      </c>
      <c r="D81" s="173" t="str">
        <f>'Operating Budget'!$G$7</f>
        <v>FY 2021 - 2022</v>
      </c>
      <c r="E81" s="176" t="s">
        <v>322</v>
      </c>
    </row>
    <row r="82" spans="1:5">
      <c r="A82">
        <f>'Operating Budget'!A86</f>
        <v>54</v>
      </c>
      <c r="B82" t="str">
        <f>'Operating Budget'!B86</f>
        <v>Public Information &amp; Outreach</v>
      </c>
      <c r="C82" s="4">
        <f ca="1">'Operating Budget'!D86</f>
        <v>14000</v>
      </c>
      <c r="D82" s="4">
        <f ca="1">'Operating Budget'!G86</f>
        <v>10000</v>
      </c>
      <c r="E82" s="177">
        <f t="shared" ref="E82" ca="1" si="7">(D82-C82)/C82</f>
        <v>-0.2857142857142857</v>
      </c>
    </row>
  </sheetData>
  <pageMargins left="0.7" right="0.7" top="0.75" bottom="0.75" header="0.3" footer="0.3"/>
  <pageSetup orientation="portrait" horizontalDpi="1200" verticalDpi="120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646B2-41C3-4DB4-A6E2-C8DFD03F24D2}">
  <dimension ref="B2:L16"/>
  <sheetViews>
    <sheetView workbookViewId="0"/>
  </sheetViews>
  <sheetFormatPr defaultColWidth="8.85546875" defaultRowHeight="12.75"/>
  <cols>
    <col min="2" max="2" width="14.7109375" customWidth="1"/>
    <col min="3" max="3" width="24.42578125" customWidth="1"/>
    <col min="4" max="4" width="48" customWidth="1"/>
  </cols>
  <sheetData>
    <row r="2" spans="2:12">
      <c r="B2" t="s">
        <v>325</v>
      </c>
      <c r="C2" t="s">
        <v>326</v>
      </c>
      <c r="D2" t="s">
        <v>327</v>
      </c>
    </row>
    <row r="3" spans="2:12">
      <c r="B3" s="176">
        <v>5</v>
      </c>
      <c r="C3" s="215" t="s">
        <v>328</v>
      </c>
      <c r="D3" s="215" t="s">
        <v>329</v>
      </c>
      <c r="E3">
        <f>34*30</f>
        <v>1020</v>
      </c>
    </row>
    <row r="4" spans="2:12">
      <c r="B4">
        <v>12</v>
      </c>
      <c r="C4" s="215" t="s">
        <v>330</v>
      </c>
      <c r="D4" s="215" t="s">
        <v>331</v>
      </c>
    </row>
    <row r="5" spans="2:12">
      <c r="B5">
        <v>9</v>
      </c>
      <c r="C5" s="215" t="s">
        <v>332</v>
      </c>
      <c r="D5" s="215" t="s">
        <v>331</v>
      </c>
    </row>
    <row r="6" spans="2:12">
      <c r="B6" s="215">
        <v>13</v>
      </c>
      <c r="C6" s="215" t="s">
        <v>333</v>
      </c>
      <c r="D6" s="215" t="s">
        <v>334</v>
      </c>
      <c r="E6" s="215"/>
      <c r="F6" s="215"/>
      <c r="G6" s="215"/>
      <c r="H6" s="215" t="s">
        <v>335</v>
      </c>
      <c r="I6" s="215"/>
      <c r="J6" s="215"/>
      <c r="K6" s="215"/>
      <c r="L6" s="215"/>
    </row>
    <row r="7" spans="2:12">
      <c r="B7">
        <v>17</v>
      </c>
      <c r="C7" s="215" t="s">
        <v>336</v>
      </c>
      <c r="D7" s="215" t="s">
        <v>337</v>
      </c>
    </row>
    <row r="8" spans="2:12">
      <c r="B8">
        <v>45</v>
      </c>
      <c r="C8" s="203" t="s">
        <v>338</v>
      </c>
      <c r="D8" s="203" t="s">
        <v>339</v>
      </c>
    </row>
    <row r="9" spans="2:12">
      <c r="B9">
        <v>46</v>
      </c>
      <c r="C9" s="203" t="s">
        <v>340</v>
      </c>
      <c r="D9" s="204" t="s">
        <v>341</v>
      </c>
    </row>
    <row r="10" spans="2:12">
      <c r="C10" s="203" t="s">
        <v>342</v>
      </c>
      <c r="D10" s="203" t="s">
        <v>343</v>
      </c>
    </row>
    <row r="11" spans="2:12">
      <c r="B11">
        <v>60</v>
      </c>
      <c r="C11" s="203" t="s">
        <v>344</v>
      </c>
      <c r="D11" s="203" t="s">
        <v>345</v>
      </c>
    </row>
    <row r="14" spans="2:12">
      <c r="D14" s="5" t="s">
        <v>346</v>
      </c>
      <c r="E14" s="5" t="s">
        <v>347</v>
      </c>
    </row>
    <row r="15" spans="2:12">
      <c r="D15" s="5" t="s">
        <v>32</v>
      </c>
      <c r="E15" s="5" t="s">
        <v>33</v>
      </c>
    </row>
    <row r="16" spans="2:12">
      <c r="D16" s="5" t="s">
        <v>33</v>
      </c>
    </row>
  </sheetData>
  <pageMargins left="0.7" right="0.7" top="0.75" bottom="0.75" header="0.3" footer="0.3"/>
  <pageSetup orientation="portrait" horizontalDpi="1200" verticalDpi="120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H106"/>
  <sheetViews>
    <sheetView topLeftCell="C90" workbookViewId="0">
      <selection activeCell="C5" sqref="C5"/>
    </sheetView>
  </sheetViews>
  <sheetFormatPr defaultColWidth="8.85546875" defaultRowHeight="12.75"/>
  <cols>
    <col min="2" max="2" width="38.28515625" customWidth="1"/>
    <col min="3" max="7" width="15.7109375" customWidth="1"/>
  </cols>
  <sheetData>
    <row r="3" spans="2:7">
      <c r="B3" s="3" t="s">
        <v>348</v>
      </c>
      <c r="C3">
        <f ca="1">COUNT(G15:G90)</f>
        <v>61</v>
      </c>
    </row>
    <row r="5" spans="2:7">
      <c r="B5" s="5" t="s">
        <v>349</v>
      </c>
      <c r="C5">
        <f ca="1">COUNTIFS($G$15:$G$92,"&gt;="&amp;D5,$G$15:$G$92,"&lt;="&amp;E5)</f>
        <v>45</v>
      </c>
      <c r="D5">
        <v>0.9</v>
      </c>
      <c r="E5">
        <v>1.1000000000000001</v>
      </c>
    </row>
    <row r="6" spans="2:7">
      <c r="B6" s="5" t="s">
        <v>350</v>
      </c>
      <c r="C6">
        <f ca="1">COUNTIF($G$15:$G$90,"&gt;"&amp;D6)</f>
        <v>12</v>
      </c>
      <c r="D6">
        <v>1.1000000000000001</v>
      </c>
      <c r="E6">
        <v>1.25</v>
      </c>
    </row>
    <row r="7" spans="2:7">
      <c r="B7" s="5" t="s">
        <v>351</v>
      </c>
      <c r="C7" s="5">
        <f ca="1">C3-SUM(C5:C6)</f>
        <v>4</v>
      </c>
    </row>
    <row r="14" spans="2:7">
      <c r="B14" s="89"/>
      <c r="C14" s="89"/>
      <c r="D14" s="311" t="s">
        <v>12</v>
      </c>
      <c r="E14" s="311" t="s">
        <v>15</v>
      </c>
      <c r="F14" s="89"/>
    </row>
    <row r="15" spans="2:7">
      <c r="B15" s="99" t="str">
        <f>'Operating Budget'!B12</f>
        <v>Water Revenue</v>
      </c>
      <c r="C15" s="99"/>
      <c r="D15" s="107">
        <f>'Operating Budget'!D12</f>
        <v>2264000</v>
      </c>
      <c r="E15" s="107">
        <f>'Operating Budget'!G12</f>
        <v>2332000</v>
      </c>
      <c r="F15" s="99"/>
      <c r="G15" s="168">
        <f>IFERROR(E15/D15,"New")</f>
        <v>1.0300353356890459</v>
      </c>
    </row>
    <row r="16" spans="2:7">
      <c r="B16" s="133" t="str">
        <f>'Operating Budget'!B13</f>
        <v>Sewer Revenue</v>
      </c>
      <c r="C16" s="133"/>
      <c r="D16" s="134">
        <f>'Operating Budget'!D13</f>
        <v>2400000</v>
      </c>
      <c r="E16" s="134">
        <f>'Operating Budget'!G13</f>
        <v>2470000</v>
      </c>
      <c r="F16" s="133"/>
      <c r="G16" s="168">
        <f t="shared" ref="G16:G18" si="0">IFERROR(E16/D16,"New")</f>
        <v>1.0291666666666666</v>
      </c>
    </row>
    <row r="17" spans="2:7">
      <c r="B17" s="99" t="str">
        <f>'Operating Budget'!B14</f>
        <v>Solid Waste Revenue</v>
      </c>
      <c r="C17" s="99"/>
      <c r="D17" s="107">
        <f>'Operating Budget'!D14</f>
        <v>750000</v>
      </c>
      <c r="E17" s="107">
        <f>'Operating Budget'!G14</f>
        <v>769000</v>
      </c>
      <c r="F17" s="99"/>
      <c r="G17" s="168">
        <f t="shared" si="0"/>
        <v>1.0253333333333334</v>
      </c>
    </row>
    <row r="18" spans="2:7" ht="13.5" thickBot="1">
      <c r="B18" s="106" t="str">
        <f>'Operating Budget'!B15</f>
        <v>Total Rate Revenues</v>
      </c>
      <c r="C18" s="106"/>
      <c r="D18" s="101">
        <f>'Operating Budget'!D15</f>
        <v>5414000</v>
      </c>
      <c r="E18" s="101">
        <f>'Operating Budget'!G15</f>
        <v>5571000</v>
      </c>
      <c r="F18" s="106"/>
      <c r="G18" s="168">
        <f t="shared" si="0"/>
        <v>1.0289988917620982</v>
      </c>
    </row>
    <row r="19" spans="2:7" ht="13.5" thickTop="1">
      <c r="B19" s="91" t="str">
        <f>'Operating Budget'!B16</f>
        <v/>
      </c>
      <c r="C19" s="91"/>
      <c r="D19" s="93"/>
      <c r="E19" s="93"/>
      <c r="F19" s="91"/>
    </row>
    <row r="20" spans="2:7">
      <c r="B20" s="91" t="str">
        <f>'Operating Budget'!B17</f>
        <v/>
      </c>
      <c r="C20" s="91"/>
      <c r="D20" s="93"/>
      <c r="E20" s="93"/>
      <c r="F20" s="91"/>
    </row>
    <row r="21" spans="2:7">
      <c r="B21" s="89" t="str">
        <f>'Operating Budget'!B18</f>
        <v>OPERATING EXPENSES</v>
      </c>
      <c r="C21" s="89"/>
      <c r="D21" s="93"/>
      <c r="E21" s="93"/>
    </row>
    <row r="22" spans="2:7">
      <c r="B22" s="91" t="str">
        <f>'Operating Budget'!B19</f>
        <v/>
      </c>
      <c r="C22" s="91"/>
      <c r="D22" s="93"/>
      <c r="E22" s="93"/>
    </row>
    <row r="23" spans="2:7">
      <c r="B23" s="98" t="str">
        <f>'Operating Budget'!B20</f>
        <v>Water System Expense</v>
      </c>
      <c r="C23" s="98"/>
      <c r="D23" s="93"/>
      <c r="E23" s="93"/>
      <c r="F23" s="98"/>
    </row>
    <row r="24" spans="2:7">
      <c r="B24" s="133" t="str">
        <f>'Operating Budget'!B21</f>
        <v>PHWA Water Contract</v>
      </c>
      <c r="C24" s="133"/>
      <c r="D24" s="109">
        <f ca="1">'Operating Budget'!D21</f>
        <v>900000</v>
      </c>
      <c r="E24" s="109">
        <f ca="1">'Operating Budget'!G21</f>
        <v>1000000</v>
      </c>
      <c r="F24" s="133"/>
      <c r="G24" s="168">
        <f t="shared" ref="G24:G31" ca="1" si="1">IFERROR(E24/D24,"New")</f>
        <v>1.1111111111111112</v>
      </c>
    </row>
    <row r="25" spans="2:7">
      <c r="B25" s="99" t="str">
        <f>'Operating Budget'!B22</f>
        <v>Water Sampling</v>
      </c>
      <c r="C25" s="99"/>
      <c r="D25" s="93">
        <f>'Operating Budget'!D22</f>
        <v>15000</v>
      </c>
      <c r="E25" s="93">
        <f>'Operating Budget'!G22</f>
        <v>15000</v>
      </c>
      <c r="F25" s="99"/>
      <c r="G25" s="168">
        <f t="shared" si="1"/>
        <v>1</v>
      </c>
    </row>
    <row r="26" spans="2:7">
      <c r="B26" s="133" t="str">
        <f>'Operating Budget'!B23</f>
        <v>SWRCB Annual Admin Fee</v>
      </c>
      <c r="C26" s="133"/>
      <c r="D26" s="109">
        <f>'Operating Budget'!D23</f>
        <v>14000</v>
      </c>
      <c r="E26" s="109">
        <f>'Operating Budget'!G23</f>
        <v>16000</v>
      </c>
      <c r="F26" s="133"/>
      <c r="G26" s="168">
        <f t="shared" si="1"/>
        <v>1.1428571428571428</v>
      </c>
    </row>
    <row r="27" spans="2:7">
      <c r="B27" s="99" t="str">
        <f>'Operating Budget'!B24</f>
        <v>Annual Water Quality Report</v>
      </c>
      <c r="C27" s="99"/>
      <c r="D27" s="93">
        <f>'Operating Budget'!D24</f>
        <v>4000</v>
      </c>
      <c r="E27" s="93">
        <f>'Operating Budget'!G24</f>
        <v>4000</v>
      </c>
      <c r="F27" s="99"/>
      <c r="G27" s="169">
        <f t="shared" si="1"/>
        <v>1</v>
      </c>
    </row>
    <row r="28" spans="2:7">
      <c r="B28" s="133" t="str">
        <f>'Operating Budget'!B25</f>
        <v>Cross Connect Contract Charge</v>
      </c>
      <c r="C28" s="133"/>
      <c r="D28" s="109">
        <f>'Operating Budget'!D25</f>
        <v>2000</v>
      </c>
      <c r="E28" s="109">
        <f>'Operating Budget'!G25</f>
        <v>2600</v>
      </c>
      <c r="F28" s="133"/>
      <c r="G28" s="168">
        <f t="shared" si="1"/>
        <v>1.3</v>
      </c>
    </row>
    <row r="29" spans="2:7">
      <c r="B29" s="99" t="str">
        <f>'Operating Budget'!B26</f>
        <v>Water Repair &amp; Maintenance</v>
      </c>
      <c r="C29" s="99"/>
      <c r="D29" s="93">
        <f>'Operating Budget'!D26</f>
        <v>130000</v>
      </c>
      <c r="E29" s="93">
        <f>'Operating Budget'!G26</f>
        <v>130000</v>
      </c>
      <c r="F29" s="99"/>
      <c r="G29" s="168">
        <f t="shared" si="1"/>
        <v>1</v>
      </c>
    </row>
    <row r="30" spans="2:7">
      <c r="B30" s="133" t="str">
        <f>'Operating Budget'!B27</f>
        <v>Telemetry</v>
      </c>
      <c r="C30" s="133"/>
      <c r="D30" s="109">
        <f>'Operating Budget'!D27</f>
        <v>10600</v>
      </c>
      <c r="E30" s="109">
        <f>'Operating Budget'!G27</f>
        <v>11000</v>
      </c>
      <c r="F30" s="133"/>
      <c r="G30" s="168">
        <f t="shared" si="1"/>
        <v>1.0377358490566038</v>
      </c>
    </row>
    <row r="31" spans="2:7" ht="13.5" thickBot="1">
      <c r="B31" s="106" t="str">
        <f>'Operating Budget'!B28</f>
        <v>Total Water System Expense</v>
      </c>
      <c r="C31" s="106"/>
      <c r="D31" s="101">
        <f ca="1">'Operating Budget'!D28</f>
        <v>1075600</v>
      </c>
      <c r="E31" s="101">
        <f ca="1">'Operating Budget'!G28</f>
        <v>1178600</v>
      </c>
      <c r="F31" s="106"/>
      <c r="G31" s="168">
        <f t="shared" ca="1" si="1"/>
        <v>1.0957605057642246</v>
      </c>
    </row>
    <row r="32" spans="2:7" ht="13.5" thickTop="1">
      <c r="B32" s="91" t="str">
        <f>'Operating Budget'!B29</f>
        <v/>
      </c>
      <c r="C32" s="91"/>
      <c r="D32" s="93"/>
      <c r="E32" s="93"/>
      <c r="F32" s="91"/>
    </row>
    <row r="33" spans="2:7">
      <c r="B33" s="98" t="str">
        <f>'Operating Budget'!B30</f>
        <v>Sewer System Expense</v>
      </c>
      <c r="C33" s="98"/>
      <c r="D33" s="93"/>
      <c r="E33" s="93"/>
      <c r="F33" s="98"/>
    </row>
    <row r="34" spans="2:7">
      <c r="B34" s="99" t="str">
        <f>'Operating Budget'!B31</f>
        <v>Wastewater Transportation</v>
      </c>
      <c r="C34" s="99"/>
      <c r="D34" s="93">
        <f ca="1">'Operating Budget'!D31</f>
        <v>980000</v>
      </c>
      <c r="E34" s="93">
        <f ca="1">'Operating Budget'!G31</f>
        <v>940000</v>
      </c>
      <c r="F34" s="99"/>
      <c r="G34" s="168">
        <f t="shared" ref="G34:G38" ca="1" si="2">IFERROR(E34/D34,"New")</f>
        <v>0.95918367346938771</v>
      </c>
    </row>
    <row r="35" spans="2:7">
      <c r="B35" s="133" t="str">
        <f>'Operating Budget'!B32</f>
        <v>Sewer Repair &amp; Maintenance</v>
      </c>
      <c r="C35" s="133"/>
      <c r="D35" s="109">
        <f ca="1">'Operating Budget'!D32</f>
        <v>97000</v>
      </c>
      <c r="E35" s="109">
        <f ca="1">'Operating Budget'!G32</f>
        <v>109000</v>
      </c>
      <c r="F35" s="133"/>
      <c r="G35" s="168">
        <f t="shared" ca="1" si="2"/>
        <v>1.1237113402061856</v>
      </c>
    </row>
    <row r="36" spans="2:7">
      <c r="B36" s="99" t="str">
        <f>'Operating Budget'!B33</f>
        <v>Telemetry</v>
      </c>
      <c r="C36" s="99"/>
      <c r="D36" s="93">
        <f ca="1">'Operating Budget'!D33</f>
        <v>34000</v>
      </c>
      <c r="E36" s="93">
        <f ca="1">'Operating Budget'!G33</f>
        <v>34000</v>
      </c>
      <c r="F36" s="99"/>
      <c r="G36" s="168">
        <f t="shared" ca="1" si="2"/>
        <v>1</v>
      </c>
    </row>
    <row r="37" spans="2:7">
      <c r="B37" s="133" t="str">
        <f>'Operating Budget'!B34</f>
        <v>Power</v>
      </c>
      <c r="C37" s="133"/>
      <c r="D37" s="109">
        <f ca="1">'Operating Budget'!D34</f>
        <v>20000</v>
      </c>
      <c r="E37" s="109">
        <f ca="1">'Operating Budget'!G34</f>
        <v>21000</v>
      </c>
      <c r="F37" s="133"/>
      <c r="G37" s="168">
        <f t="shared" ca="1" si="2"/>
        <v>1.05</v>
      </c>
    </row>
    <row r="38" spans="2:7" ht="13.5" thickBot="1">
      <c r="B38" s="106" t="str">
        <f>'Operating Budget'!B35</f>
        <v>Total Sewer System Expense</v>
      </c>
      <c r="C38" s="106"/>
      <c r="D38" s="101">
        <f ca="1">'Operating Budget'!D35</f>
        <v>1131000</v>
      </c>
      <c r="E38" s="101">
        <f ca="1">'Operating Budget'!G35</f>
        <v>1104000</v>
      </c>
      <c r="F38" s="106"/>
      <c r="G38" s="168">
        <f t="shared" ca="1" si="2"/>
        <v>0.97612732095490717</v>
      </c>
    </row>
    <row r="39" spans="2:7" ht="13.5" thickTop="1">
      <c r="B39" s="91" t="str">
        <f>'Operating Budget'!B36</f>
        <v/>
      </c>
      <c r="C39" s="91"/>
      <c r="D39" s="93"/>
      <c r="E39" s="93"/>
      <c r="F39" s="91"/>
    </row>
    <row r="40" spans="2:7">
      <c r="B40" s="98" t="str">
        <f>'Operating Budget'!B37</f>
        <v>Trash Expense</v>
      </c>
      <c r="C40" s="98"/>
      <c r="D40" s="93"/>
      <c r="E40" s="93"/>
      <c r="F40" s="98"/>
    </row>
    <row r="41" spans="2:7">
      <c r="B41" s="99" t="str">
        <f>'Operating Budget'!B38</f>
        <v>Contract Trash Services</v>
      </c>
      <c r="C41" s="99"/>
      <c r="D41" s="93">
        <f ca="1">'Operating Budget'!D38</f>
        <v>600000</v>
      </c>
      <c r="E41" s="93">
        <f ca="1">'Operating Budget'!G38</f>
        <v>600000</v>
      </c>
      <c r="F41" s="99"/>
      <c r="G41" s="168">
        <f t="shared" ref="G41:G42" ca="1" si="3">IFERROR(E41/D41,"New")</f>
        <v>1</v>
      </c>
    </row>
    <row r="42" spans="2:7" ht="13.5" thickBot="1">
      <c r="B42" s="106" t="str">
        <f>'Operating Budget'!B39</f>
        <v>Total Trash Expense</v>
      </c>
      <c r="C42" s="106"/>
      <c r="D42" s="101">
        <f ca="1">'Operating Budget'!D39</f>
        <v>600000</v>
      </c>
      <c r="E42" s="101">
        <f ca="1">'Operating Budget'!G39</f>
        <v>600000</v>
      </c>
      <c r="F42" s="106"/>
      <c r="G42" s="168">
        <f t="shared" ca="1" si="3"/>
        <v>1</v>
      </c>
    </row>
    <row r="43" spans="2:7" ht="13.5" thickTop="1">
      <c r="B43" s="91" t="str">
        <f>'Operating Budget'!B40</f>
        <v/>
      </c>
      <c r="C43" s="91"/>
      <c r="D43" s="93"/>
      <c r="E43" s="93"/>
      <c r="F43" s="91"/>
    </row>
    <row r="44" spans="2:7">
      <c r="B44" s="98" t="str">
        <f>'Operating Budget'!B41</f>
        <v>Maintenance Expenses</v>
      </c>
      <c r="C44" s="98"/>
      <c r="D44" s="93"/>
      <c r="E44" s="93"/>
      <c r="F44" s="98"/>
    </row>
    <row r="45" spans="2:7">
      <c r="B45" s="133" t="str">
        <f>'Operating Budget'!B42</f>
        <v>Gasoline</v>
      </c>
      <c r="C45" s="133"/>
      <c r="D45" s="109">
        <f ca="1">'Operating Budget'!D42</f>
        <v>15000</v>
      </c>
      <c r="E45" s="109">
        <f ca="1">'Operating Budget'!G42</f>
        <v>15000</v>
      </c>
      <c r="F45" s="133"/>
      <c r="G45" s="168">
        <f t="shared" ref="G45:G53" ca="1" si="4">IFERROR(E45/D45,"New")</f>
        <v>1</v>
      </c>
    </row>
    <row r="46" spans="2:7">
      <c r="B46" s="99" t="str">
        <f>'Operating Budget'!B43</f>
        <v>Vehicle Maintenance</v>
      </c>
      <c r="C46" s="99"/>
      <c r="D46" s="93">
        <f ca="1">'Operating Budget'!D43</f>
        <v>12000</v>
      </c>
      <c r="E46" s="93">
        <f ca="1">'Operating Budget'!G43</f>
        <v>12000</v>
      </c>
      <c r="F46" s="99"/>
      <c r="G46" s="169">
        <f t="shared" ca="1" si="4"/>
        <v>1</v>
      </c>
    </row>
    <row r="47" spans="2:7">
      <c r="B47" s="133" t="str">
        <f>'Operating Budget'!B44</f>
        <v>Building Security</v>
      </c>
      <c r="C47" s="133"/>
      <c r="D47" s="109">
        <f ca="1">'Operating Budget'!D44</f>
        <v>3000</v>
      </c>
      <c r="E47" s="109">
        <f ca="1">'Operating Budget'!G44</f>
        <v>3000</v>
      </c>
      <c r="F47" s="133"/>
      <c r="G47" s="169">
        <f t="shared" ca="1" si="4"/>
        <v>1</v>
      </c>
    </row>
    <row r="48" spans="2:7">
      <c r="B48" s="99" t="str">
        <f>'Operating Budget'!B45</f>
        <v>Building Maintenance</v>
      </c>
      <c r="C48" s="99"/>
      <c r="D48" s="93">
        <f ca="1">'Operating Budget'!D45</f>
        <v>12000</v>
      </c>
      <c r="E48" s="93">
        <f ca="1">'Operating Budget'!G45</f>
        <v>17000</v>
      </c>
      <c r="F48" s="99"/>
      <c r="G48" s="168">
        <f t="shared" ca="1" si="4"/>
        <v>1.4166666666666667</v>
      </c>
    </row>
    <row r="49" spans="2:7">
      <c r="B49" s="133" t="str">
        <f>'Operating Budget'!B46</f>
        <v>Signs &amp; Banners</v>
      </c>
      <c r="C49" s="133"/>
      <c r="D49" s="109">
        <f ca="1">'Operating Budget'!D46</f>
        <v>1500</v>
      </c>
      <c r="E49" s="109">
        <f ca="1">'Operating Budget'!G46</f>
        <v>1500</v>
      </c>
      <c r="F49" s="133"/>
      <c r="G49" s="168">
        <f t="shared" ca="1" si="4"/>
        <v>1</v>
      </c>
    </row>
    <row r="50" spans="2:7">
      <c r="B50" s="99" t="str">
        <f>'Operating Budget'!B47</f>
        <v>Public Landscaping</v>
      </c>
      <c r="C50" s="99"/>
      <c r="D50" s="93">
        <f ca="1">'Operating Budget'!D47</f>
        <v>4500</v>
      </c>
      <c r="E50" s="93">
        <f ca="1">'Operating Budget'!G47</f>
        <v>4500</v>
      </c>
      <c r="F50" s="99"/>
      <c r="G50" s="169">
        <f t="shared" ca="1" si="4"/>
        <v>1</v>
      </c>
    </row>
    <row r="51" spans="2:7">
      <c r="B51" s="133" t="str">
        <f>'Operating Budget'!B48</f>
        <v>Employee Workplace Safety</v>
      </c>
      <c r="C51" s="133"/>
      <c r="D51" s="109">
        <f ca="1">'Operating Budget'!D48</f>
        <v>5000</v>
      </c>
      <c r="E51" s="109">
        <f ca="1">'Operating Budget'!G48</f>
        <v>5000</v>
      </c>
      <c r="F51" s="133"/>
      <c r="G51" s="169">
        <f t="shared" ca="1" si="4"/>
        <v>1</v>
      </c>
    </row>
    <row r="52" spans="2:7">
      <c r="B52" s="99" t="str">
        <f>'Operating Budget'!B49</f>
        <v>Emergency Preparedness</v>
      </c>
      <c r="C52" s="99"/>
      <c r="D52" s="93">
        <f ca="1">'Operating Budget'!D49</f>
        <v>1500</v>
      </c>
      <c r="E52" s="93">
        <f ca="1">'Operating Budget'!G49</f>
        <v>1500</v>
      </c>
      <c r="F52" s="99"/>
      <c r="G52" s="168">
        <f t="shared" ca="1" si="4"/>
        <v>1</v>
      </c>
    </row>
    <row r="53" spans="2:7" ht="13.5" thickBot="1">
      <c r="B53" s="106" t="str">
        <f>'Operating Budget'!B50</f>
        <v>Total Maintenance Expenses</v>
      </c>
      <c r="C53" s="106"/>
      <c r="D53" s="101">
        <f ca="1">'Operating Budget'!D50</f>
        <v>54500</v>
      </c>
      <c r="E53" s="101">
        <f ca="1">'Operating Budget'!G50</f>
        <v>59500</v>
      </c>
      <c r="F53" s="106"/>
      <c r="G53" s="168">
        <f t="shared" ca="1" si="4"/>
        <v>1.0917431192660549</v>
      </c>
    </row>
    <row r="54" spans="2:7" ht="13.5" thickTop="1">
      <c r="B54" s="91" t="str">
        <f>'Operating Budget'!B51</f>
        <v/>
      </c>
      <c r="C54" s="91"/>
      <c r="D54" s="93"/>
      <c r="E54" s="93"/>
      <c r="F54" s="91"/>
    </row>
    <row r="55" spans="2:7">
      <c r="B55" s="98" t="str">
        <f>'Operating Budget'!B52</f>
        <v>Salaries &amp; Benefits</v>
      </c>
      <c r="C55" s="98"/>
      <c r="D55" s="93"/>
      <c r="E55" s="93"/>
      <c r="F55" s="98"/>
    </row>
    <row r="56" spans="2:7">
      <c r="B56" s="133" t="str">
        <f>'Operating Budget'!B53</f>
        <v>Regular Salaries</v>
      </c>
      <c r="C56" s="133"/>
      <c r="D56" s="109">
        <f ca="1">'Operating Budget'!D53</f>
        <v>729600</v>
      </c>
      <c r="E56" s="109">
        <f>'Operating Budget'!G53</f>
        <v>769000</v>
      </c>
      <c r="F56" s="133"/>
      <c r="G56" s="168">
        <f t="shared" ref="G56:G63" ca="1" si="5">IFERROR(E56/D56,"New")</f>
        <v>1.0540021929824561</v>
      </c>
    </row>
    <row r="57" spans="2:7">
      <c r="B57" s="99" t="str">
        <f>'Operating Budget'!B54</f>
        <v>Payroll Taxes</v>
      </c>
      <c r="C57" s="99"/>
      <c r="D57" s="93">
        <f ca="1">'Operating Budget'!D54</f>
        <v>29000</v>
      </c>
      <c r="E57" s="93">
        <f ca="1">'Operating Budget'!G54</f>
        <v>33000</v>
      </c>
      <c r="F57" s="99"/>
      <c r="G57" s="168">
        <f t="shared" ca="1" si="5"/>
        <v>1.1379310344827587</v>
      </c>
    </row>
    <row r="58" spans="2:7">
      <c r="B58" s="133" t="str">
        <f>'Operating Budget'!B55</f>
        <v>Group Insurance</v>
      </c>
      <c r="C58" s="133"/>
      <c r="D58" s="109">
        <f ca="1">'Operating Budget'!D55</f>
        <v>128000</v>
      </c>
      <c r="E58" s="109">
        <f ca="1">'Operating Budget'!G55</f>
        <v>140000</v>
      </c>
      <c r="F58" s="133"/>
      <c r="G58" s="168">
        <f t="shared" ca="1" si="5"/>
        <v>1.09375</v>
      </c>
    </row>
    <row r="59" spans="2:7">
      <c r="B59" s="99" t="str">
        <f>'Operating Budget'!B56</f>
        <v>Retirement Benefits</v>
      </c>
      <c r="C59" s="99"/>
      <c r="D59" s="93">
        <f ca="1">'Operating Budget'!D56</f>
        <v>74000</v>
      </c>
      <c r="E59" s="93">
        <f>'Operating Budget'!G56</f>
        <v>104000</v>
      </c>
      <c r="F59" s="99"/>
      <c r="G59" s="168">
        <f t="shared" ca="1" si="5"/>
        <v>1.4054054054054055</v>
      </c>
    </row>
    <row r="60" spans="2:7">
      <c r="B60" s="133" t="str">
        <f>'Operating Budget'!B57</f>
        <v>Uniforms</v>
      </c>
      <c r="C60" s="133"/>
      <c r="D60" s="109">
        <f ca="1">'Operating Budget'!D57</f>
        <v>4500</v>
      </c>
      <c r="E60" s="109">
        <f ca="1">'Operating Budget'!G57</f>
        <v>5100</v>
      </c>
      <c r="F60" s="133"/>
      <c r="G60" s="169">
        <f t="shared" ca="1" si="5"/>
        <v>1.1333333333333333</v>
      </c>
    </row>
    <row r="61" spans="2:7">
      <c r="B61" s="99" t="str">
        <f>'Operating Budget'!B58</f>
        <v>Workers' Comp Insurance</v>
      </c>
      <c r="C61" s="99"/>
      <c r="D61" s="93">
        <f ca="1">'Operating Budget'!D58</f>
        <v>12000</v>
      </c>
      <c r="E61" s="93">
        <f ca="1">'Operating Budget'!G58</f>
        <v>12500</v>
      </c>
      <c r="F61" s="99"/>
      <c r="G61" s="168">
        <f t="shared" ca="1" si="5"/>
        <v>1.0416666666666667</v>
      </c>
    </row>
    <row r="62" spans="2:7">
      <c r="B62" s="133" t="str">
        <f>'Operating Budget'!B59</f>
        <v>Employee Education</v>
      </c>
      <c r="C62" s="133"/>
      <c r="D62" s="109">
        <f ca="1">'Operating Budget'!D59</f>
        <v>22000</v>
      </c>
      <c r="E62" s="109">
        <f ca="1">'Operating Budget'!G59</f>
        <v>18000</v>
      </c>
      <c r="F62" s="133"/>
      <c r="G62" s="169">
        <f t="shared" ca="1" si="5"/>
        <v>0.81818181818181823</v>
      </c>
    </row>
    <row r="63" spans="2:7" ht="13.5" thickBot="1">
      <c r="B63" s="106" t="str">
        <f>'Operating Budget'!B60</f>
        <v>Total Salaries &amp; Benefits</v>
      </c>
      <c r="C63" s="106"/>
      <c r="D63" s="101">
        <f ca="1">'Operating Budget'!D60</f>
        <v>999100</v>
      </c>
      <c r="E63" s="101">
        <f ca="1">'Operating Budget'!G60</f>
        <v>1081600</v>
      </c>
      <c r="F63" s="106"/>
      <c r="G63" s="168">
        <f t="shared" ca="1" si="5"/>
        <v>1.0825743168851967</v>
      </c>
    </row>
    <row r="64" spans="2:7" ht="13.5" thickTop="1">
      <c r="B64" s="91" t="str">
        <f>'Operating Budget'!B61</f>
        <v/>
      </c>
      <c r="C64" s="91"/>
      <c r="D64" s="93"/>
      <c r="E64" s="93"/>
      <c r="F64" s="91"/>
    </row>
    <row r="65" spans="2:7">
      <c r="B65" s="98" t="str">
        <f>'Operating Budget'!B62</f>
        <v>Administrative Expenses</v>
      </c>
      <c r="C65" s="98"/>
      <c r="D65" s="93"/>
      <c r="E65" s="93"/>
      <c r="F65" s="98"/>
    </row>
    <row r="66" spans="2:7">
      <c r="B66" s="99" t="str">
        <f>'Operating Budget'!B63</f>
        <v>Regular Board Payments</v>
      </c>
      <c r="C66" s="99"/>
      <c r="D66" s="93">
        <f ca="1">'Operating Budget'!D63</f>
        <v>9000</v>
      </c>
      <c r="E66" s="93">
        <f ca="1">'Operating Budget'!G63</f>
        <v>10000</v>
      </c>
      <c r="F66" s="99"/>
      <c r="G66" s="168">
        <f t="shared" ref="G66:G90" ca="1" si="6">IFERROR(E66/D66,"New")</f>
        <v>1.1111111111111112</v>
      </c>
    </row>
    <row r="67" spans="2:7">
      <c r="B67" s="133" t="str">
        <f>'Operating Budget'!B64</f>
        <v>Special Board Meetings</v>
      </c>
      <c r="C67" s="133"/>
      <c r="D67" s="109">
        <f ca="1">'Operating Budget'!D64</f>
        <v>2000</v>
      </c>
      <c r="E67" s="109">
        <f ca="1">'Operating Budget'!G64</f>
        <v>3000</v>
      </c>
      <c r="F67" s="133"/>
      <c r="G67" s="168">
        <f t="shared" ca="1" si="6"/>
        <v>1.5</v>
      </c>
    </row>
    <row r="68" spans="2:7">
      <c r="B68" s="99" t="str">
        <f>'Operating Budget'!B65</f>
        <v>Board/ Committee Expenses</v>
      </c>
      <c r="C68" s="99"/>
      <c r="D68" s="93">
        <f ca="1">'Operating Budget'!D65</f>
        <v>1000</v>
      </c>
      <c r="E68" s="93">
        <f ca="1">'Operating Budget'!G65</f>
        <v>2000</v>
      </c>
      <c r="F68" s="99"/>
      <c r="G68" s="168">
        <f t="shared" ca="1" si="6"/>
        <v>2</v>
      </c>
    </row>
    <row r="69" spans="2:7">
      <c r="B69" s="133" t="str">
        <f>'Operating Budget'!B66</f>
        <v>Board Conferences &amp; Seminars</v>
      </c>
      <c r="C69" s="133"/>
      <c r="D69" s="109">
        <f ca="1">'Operating Budget'!D66</f>
        <v>5000</v>
      </c>
      <c r="E69" s="109">
        <f ca="1">'Operating Budget'!G66</f>
        <v>5000</v>
      </c>
      <c r="F69" s="133"/>
      <c r="G69" s="169">
        <f t="shared" ca="1" si="6"/>
        <v>1</v>
      </c>
    </row>
    <row r="70" spans="2:7">
      <c r="B70" s="99" t="str">
        <f>'Operating Budget'!B67</f>
        <v>Travel &amp; Lodging</v>
      </c>
      <c r="C70" s="99"/>
      <c r="D70" s="93">
        <f ca="1">'Operating Budget'!D67</f>
        <v>8500</v>
      </c>
      <c r="E70" s="93">
        <f ca="1">'Operating Budget'!G67</f>
        <v>8500</v>
      </c>
      <c r="F70" s="99"/>
      <c r="G70" s="168">
        <f t="shared" ca="1" si="6"/>
        <v>1</v>
      </c>
    </row>
    <row r="71" spans="2:7">
      <c r="B71" s="133" t="str">
        <f>'Operating Budget'!B68</f>
        <v>District Dues &amp; Memberships</v>
      </c>
      <c r="C71" s="133"/>
      <c r="D71" s="109">
        <f ca="1">'Operating Budget'!D68</f>
        <v>24000</v>
      </c>
      <c r="E71" s="109">
        <f ca="1">'Operating Budget'!G68</f>
        <v>25000</v>
      </c>
      <c r="F71" s="133"/>
      <c r="G71" s="168">
        <f t="shared" ca="1" si="6"/>
        <v>1.0416666666666667</v>
      </c>
    </row>
    <row r="72" spans="2:7">
      <c r="B72" s="99" t="str">
        <f>'Operating Budget'!B69</f>
        <v>Office Supplies</v>
      </c>
      <c r="C72" s="99"/>
      <c r="D72" s="93">
        <f ca="1">'Operating Budget'!D69</f>
        <v>8000</v>
      </c>
      <c r="E72" s="93">
        <f ca="1">'Operating Budget'!G69</f>
        <v>8000</v>
      </c>
      <c r="F72" s="99"/>
      <c r="G72" s="168">
        <f t="shared" ca="1" si="6"/>
        <v>1</v>
      </c>
    </row>
    <row r="73" spans="2:7">
      <c r="B73" s="133" t="str">
        <f>'Operating Budget'!B70</f>
        <v>On-Line Bill Paying</v>
      </c>
      <c r="C73" s="133"/>
      <c r="D73" s="109">
        <f ca="1">'Operating Budget'!D70</f>
        <v>6000</v>
      </c>
      <c r="E73" s="109">
        <f ca="1">'Operating Budget'!G70</f>
        <v>6000</v>
      </c>
      <c r="F73" s="133"/>
      <c r="G73" s="168">
        <f t="shared" ca="1" si="6"/>
        <v>1</v>
      </c>
    </row>
    <row r="74" spans="2:7">
      <c r="B74" s="99" t="str">
        <f>'Operating Budget'!B71</f>
        <v>Communications</v>
      </c>
      <c r="C74" s="99"/>
      <c r="D74" s="93">
        <f ca="1">'Operating Budget'!D71</f>
        <v>17000</v>
      </c>
      <c r="E74" s="93">
        <f ca="1">'Operating Budget'!G71</f>
        <v>23000</v>
      </c>
      <c r="F74" s="99"/>
      <c r="G74" s="168">
        <f t="shared" ca="1" si="6"/>
        <v>1.3529411764705883</v>
      </c>
    </row>
    <row r="75" spans="2:7">
      <c r="B75" s="133" t="str">
        <f>'Operating Budget'!B72</f>
        <v>Printing &amp; Publications</v>
      </c>
      <c r="C75" s="133"/>
      <c r="D75" s="109">
        <f ca="1">'Operating Budget'!D72</f>
        <v>6000</v>
      </c>
      <c r="E75" s="109">
        <f ca="1">'Operating Budget'!G72</f>
        <v>6000</v>
      </c>
      <c r="F75" s="133"/>
      <c r="G75" s="168">
        <f t="shared" ca="1" si="6"/>
        <v>1</v>
      </c>
    </row>
    <row r="76" spans="2:7">
      <c r="B76" s="99" t="str">
        <f>'Operating Budget'!B73</f>
        <v>Postage &amp; Shipping</v>
      </c>
      <c r="C76" s="99"/>
      <c r="D76" s="93">
        <f ca="1">'Operating Budget'!D73</f>
        <v>12000</v>
      </c>
      <c r="E76" s="93">
        <f ca="1">'Operating Budget'!G73</f>
        <v>12000</v>
      </c>
      <c r="F76" s="99"/>
      <c r="G76" s="168">
        <f t="shared" ca="1" si="6"/>
        <v>1</v>
      </c>
    </row>
    <row r="77" spans="2:7">
      <c r="B77" s="133" t="str">
        <f>'Operating Budget'!B74</f>
        <v>Miscellaneous Office Expense</v>
      </c>
      <c r="C77" s="133"/>
      <c r="D77" s="109">
        <f ca="1">'Operating Budget'!D74</f>
        <v>14700</v>
      </c>
      <c r="E77" s="109">
        <f ca="1">'Operating Budget'!G74</f>
        <v>15500</v>
      </c>
      <c r="F77" s="133"/>
      <c r="G77" s="168">
        <f t="shared" ca="1" si="6"/>
        <v>1.0544217687074831</v>
      </c>
    </row>
    <row r="78" spans="2:7">
      <c r="B78" s="99" t="str">
        <f>'Operating Budget'!B75</f>
        <v>Office Utilities</v>
      </c>
      <c r="C78" s="99"/>
      <c r="D78" s="93">
        <f ca="1">'Operating Budget'!D75</f>
        <v>3800</v>
      </c>
      <c r="E78" s="93">
        <f ca="1">'Operating Budget'!G75</f>
        <v>3800</v>
      </c>
      <c r="F78" s="99"/>
      <c r="G78" s="168">
        <f t="shared" ca="1" si="6"/>
        <v>1</v>
      </c>
    </row>
    <row r="79" spans="2:7">
      <c r="B79" s="133" t="str">
        <f>'Operating Budget'!B76</f>
        <v>Office Equipment Maintenance</v>
      </c>
      <c r="C79" s="133"/>
      <c r="D79" s="109">
        <f ca="1">'Operating Budget'!D76</f>
        <v>9000</v>
      </c>
      <c r="E79" s="109">
        <f ca="1">'Operating Budget'!G76</f>
        <v>7000</v>
      </c>
      <c r="F79" s="133"/>
      <c r="G79" s="168">
        <f t="shared" ca="1" si="6"/>
        <v>0.77777777777777779</v>
      </c>
    </row>
    <row r="80" spans="2:7">
      <c r="B80" s="99" t="str">
        <f>'Operating Budget'!B77</f>
        <v>Capital Replacement</v>
      </c>
      <c r="C80" s="99"/>
      <c r="D80" s="93">
        <f ca="1">'Operating Budget'!D77</f>
        <v>8000</v>
      </c>
      <c r="E80" s="93">
        <f ca="1">'Operating Budget'!G77</f>
        <v>8000</v>
      </c>
      <c r="F80" s="99"/>
      <c r="G80" s="168">
        <f t="shared" ca="1" si="6"/>
        <v>1</v>
      </c>
    </row>
    <row r="81" spans="2:7">
      <c r="B81" s="133" t="str">
        <f>'Operating Budget'!B78</f>
        <v>Insurance</v>
      </c>
      <c r="C81" s="133"/>
      <c r="D81" s="109">
        <f ca="1">'Operating Budget'!D78</f>
        <v>39000</v>
      </c>
      <c r="E81" s="109">
        <f ca="1">'Operating Budget'!G78</f>
        <v>41000</v>
      </c>
      <c r="F81" s="133"/>
      <c r="G81" s="168">
        <f t="shared" ca="1" si="6"/>
        <v>1.0512820512820513</v>
      </c>
    </row>
    <row r="82" spans="2:7">
      <c r="B82" s="99" t="str">
        <f>'Operating Budget'!B79</f>
        <v>Legal Services</v>
      </c>
      <c r="C82" s="99"/>
      <c r="D82" s="93">
        <f ca="1">'Operating Budget'!D79</f>
        <v>60000</v>
      </c>
      <c r="E82" s="93">
        <f ca="1">'Operating Budget'!G79</f>
        <v>60000</v>
      </c>
      <c r="F82" s="99"/>
      <c r="G82" s="168">
        <f t="shared" ca="1" si="6"/>
        <v>1</v>
      </c>
    </row>
    <row r="83" spans="2:7">
      <c r="B83" s="133" t="str">
        <f>'Operating Budget'!B80</f>
        <v>Accounting Services</v>
      </c>
      <c r="C83" s="133"/>
      <c r="D83" s="109">
        <f ca="1">'Operating Budget'!D80</f>
        <v>51000</v>
      </c>
      <c r="E83" s="109">
        <f ca="1">'Operating Budget'!G80</f>
        <v>50000</v>
      </c>
      <c r="F83" s="133"/>
      <c r="G83" s="168">
        <f t="shared" ca="1" si="6"/>
        <v>0.98039215686274506</v>
      </c>
    </row>
    <row r="84" spans="2:7">
      <c r="B84" s="99" t="str">
        <f>'Operating Budget'!B81</f>
        <v>Computer Services &amp; Subscriptions</v>
      </c>
      <c r="C84" s="99"/>
      <c r="D84" s="93">
        <f ca="1">'Operating Budget'!D81</f>
        <v>52000</v>
      </c>
      <c r="E84" s="93">
        <f ca="1">'Operating Budget'!G81</f>
        <v>46000</v>
      </c>
      <c r="F84" s="99"/>
      <c r="G84" s="168">
        <f t="shared" ca="1" si="6"/>
        <v>0.88461538461538458</v>
      </c>
    </row>
    <row r="85" spans="2:7">
      <c r="B85" s="133" t="str">
        <f>'Operating Budget'!B82</f>
        <v>Engineering Services</v>
      </c>
      <c r="C85" s="133"/>
      <c r="D85" s="109">
        <f ca="1">'Operating Budget'!D82</f>
        <v>75000</v>
      </c>
      <c r="E85" s="109">
        <f ca="1">'Operating Budget'!G82</f>
        <v>75000</v>
      </c>
      <c r="F85" s="133"/>
      <c r="G85" s="168">
        <f t="shared" ca="1" si="6"/>
        <v>1</v>
      </c>
    </row>
    <row r="86" spans="2:7">
      <c r="B86" s="99" t="str">
        <f>'Operating Budget'!B83</f>
        <v>Bank &amp; Trustee Fees</v>
      </c>
      <c r="C86" s="99"/>
      <c r="D86" s="93">
        <f ca="1">'Operating Budget'!D83</f>
        <v>4000</v>
      </c>
      <c r="E86" s="93">
        <f ca="1">'Operating Budget'!G83</f>
        <v>4000</v>
      </c>
      <c r="F86" s="99"/>
      <c r="G86" s="168">
        <f t="shared" ca="1" si="6"/>
        <v>1</v>
      </c>
    </row>
    <row r="87" spans="2:7">
      <c r="B87" s="133" t="str">
        <f>'Operating Budget'!B84</f>
        <v>Other Professional Services</v>
      </c>
      <c r="C87" s="133"/>
      <c r="D87" s="109">
        <f ca="1">'Operating Budget'!D84</f>
        <v>30000</v>
      </c>
      <c r="E87" s="109">
        <f ca="1">'Operating Budget'!G84</f>
        <v>10000</v>
      </c>
      <c r="F87" s="133"/>
      <c r="G87" s="168">
        <f t="shared" ca="1" si="6"/>
        <v>0.33333333333333331</v>
      </c>
    </row>
    <row r="88" spans="2:7">
      <c r="B88" s="99" t="str">
        <f>'Operating Budget'!B85</f>
        <v>Legal Notices Publication</v>
      </c>
      <c r="C88" s="99"/>
      <c r="D88" s="93">
        <f ca="1">'Operating Budget'!D85</f>
        <v>7000</v>
      </c>
      <c r="E88" s="93">
        <f ca="1">'Operating Budget'!G85</f>
        <v>7000</v>
      </c>
      <c r="F88" s="99"/>
      <c r="G88" s="168">
        <f t="shared" ca="1" si="6"/>
        <v>1</v>
      </c>
    </row>
    <row r="89" spans="2:7">
      <c r="B89" s="133" t="str">
        <f>'Operating Budget'!B86</f>
        <v>Public Information &amp; Outreach</v>
      </c>
      <c r="C89" s="133"/>
      <c r="D89" s="109">
        <f ca="1">'Operating Budget'!D86</f>
        <v>14000</v>
      </c>
      <c r="E89" s="109">
        <f ca="1">'Operating Budget'!G86</f>
        <v>10000</v>
      </c>
      <c r="F89" s="133"/>
      <c r="G89" s="169">
        <f t="shared" ca="1" si="6"/>
        <v>0.7142857142857143</v>
      </c>
    </row>
    <row r="90" spans="2:7" ht="13.5" thickBot="1">
      <c r="B90" s="106" t="str">
        <f>'Operating Budget'!B87</f>
        <v>Total Administrative Expenses</v>
      </c>
      <c r="C90" s="106"/>
      <c r="D90" s="101">
        <f ca="1">'Operating Budget'!D87</f>
        <v>466000</v>
      </c>
      <c r="E90" s="101">
        <f ca="1">'Operating Budget'!G87</f>
        <v>445800</v>
      </c>
      <c r="F90" s="106"/>
      <c r="G90" s="168">
        <f t="shared" ca="1" si="6"/>
        <v>0.95665236051502145</v>
      </c>
    </row>
    <row r="91" spans="2:7" ht="13.5" thickTop="1">
      <c r="B91" s="92" t="str">
        <f>'Operating Budget'!B88</f>
        <v/>
      </c>
      <c r="C91" s="92"/>
      <c r="D91" s="93"/>
      <c r="E91" s="93"/>
      <c r="F91" s="92"/>
    </row>
    <row r="92" spans="2:7">
      <c r="B92" s="98" t="str">
        <f>'Operating Budget'!B89</f>
        <v>TOTAL OPERATING EXPENSES</v>
      </c>
      <c r="C92" s="98"/>
      <c r="D92" s="100">
        <f ca="1">'Operating Budget'!D89</f>
        <v>4326200</v>
      </c>
      <c r="E92" s="100">
        <f ca="1">'Operating Budget'!G89</f>
        <v>4469500</v>
      </c>
      <c r="F92" s="98"/>
      <c r="G92" s="168">
        <f ca="1">IFERROR(E92/D92,"New")</f>
        <v>1.033123757570154</v>
      </c>
    </row>
    <row r="93" spans="2:7">
      <c r="B93" s="91" t="str">
        <f>'Operating Budget'!B90</f>
        <v/>
      </c>
      <c r="C93" s="91"/>
      <c r="D93" s="93"/>
      <c r="E93" s="93"/>
      <c r="F93" s="91"/>
    </row>
    <row r="94" spans="2:7">
      <c r="B94" s="98" t="str">
        <f>'Operating Budget'!B91</f>
        <v>NET OPERATING INCOME</v>
      </c>
      <c r="C94" s="98"/>
      <c r="D94" s="100">
        <f ca="1">'Operating Budget'!D91</f>
        <v>1087800</v>
      </c>
      <c r="E94" s="100">
        <f ca="1">'Operating Budget'!G91</f>
        <v>1101500</v>
      </c>
      <c r="F94" s="98"/>
      <c r="G94" s="168">
        <f ca="1">IFERROR(E94/D94,"New")</f>
        <v>1.0125942268799413</v>
      </c>
    </row>
    <row r="99" spans="3:8">
      <c r="C99" s="5">
        <v>710282</v>
      </c>
      <c r="D99" s="5" t="s">
        <v>352</v>
      </c>
      <c r="E99" s="5"/>
      <c r="F99" s="5"/>
      <c r="G99" s="5" t="s">
        <v>353</v>
      </c>
      <c r="H99" s="5"/>
    </row>
    <row r="100" spans="3:8">
      <c r="C100" s="5">
        <v>35000</v>
      </c>
      <c r="D100" s="5" t="s">
        <v>354</v>
      </c>
      <c r="E100" s="5"/>
      <c r="F100" s="5"/>
      <c r="G100" s="5" t="s">
        <v>353</v>
      </c>
      <c r="H100" s="5"/>
    </row>
    <row r="101" spans="3:8">
      <c r="C101" s="5">
        <v>745282</v>
      </c>
      <c r="D101" s="5" t="s">
        <v>355</v>
      </c>
      <c r="E101" s="5"/>
      <c r="F101" s="5"/>
      <c r="G101" s="5"/>
      <c r="H101" s="5"/>
    </row>
    <row r="102" spans="3:8">
      <c r="C102" s="257">
        <v>12000</v>
      </c>
      <c r="D102" s="5" t="s">
        <v>356</v>
      </c>
      <c r="E102" s="22"/>
      <c r="F102" s="5"/>
      <c r="G102" s="5"/>
      <c r="H102" s="214"/>
    </row>
    <row r="103" spans="3:8">
      <c r="C103" s="257">
        <v>12000</v>
      </c>
      <c r="D103" s="5" t="s">
        <v>357</v>
      </c>
      <c r="E103" s="22"/>
      <c r="F103" s="5"/>
      <c r="G103" s="5"/>
      <c r="H103" s="5"/>
    </row>
    <row r="104" spans="3:8">
      <c r="C104" s="257">
        <f>C101+C102+C103</f>
        <v>769282</v>
      </c>
      <c r="D104" s="5"/>
      <c r="E104" s="5"/>
      <c r="F104" s="5"/>
      <c r="G104" s="5"/>
      <c r="H104" s="5"/>
    </row>
    <row r="105" spans="3:8">
      <c r="C105" s="5"/>
      <c r="D105" s="5"/>
      <c r="E105" s="5"/>
      <c r="F105" s="5"/>
      <c r="G105" s="5"/>
      <c r="H105" s="5"/>
    </row>
    <row r="106" spans="3:8">
      <c r="C106" s="5"/>
      <c r="D106" s="5"/>
      <c r="E106" s="5"/>
      <c r="F106" s="5"/>
      <c r="G106" s="5"/>
      <c r="H106" s="5"/>
    </row>
  </sheetData>
  <pageMargins left="0.7" right="0.7" top="0.75" bottom="0.75" header="0.3" footer="0.3"/>
  <pageSetup orientation="portrait" horizontalDpi="1200" verticalDpi="120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61"/>
  <sheetViews>
    <sheetView workbookViewId="0"/>
  </sheetViews>
  <sheetFormatPr defaultColWidth="8.85546875" defaultRowHeight="12.75"/>
  <cols>
    <col min="1" max="1" width="35.42578125" customWidth="1"/>
    <col min="2" max="2" width="66.140625" customWidth="1"/>
  </cols>
  <sheetData>
    <row r="2" spans="1:2">
      <c r="A2" t="s">
        <v>358</v>
      </c>
      <c r="B2" t="s">
        <v>359</v>
      </c>
    </row>
    <row r="3" spans="1:2">
      <c r="A3" t="s">
        <v>360</v>
      </c>
      <c r="B3" t="s">
        <v>361</v>
      </c>
    </row>
    <row r="4" spans="1:2">
      <c r="A4" t="s">
        <v>362</v>
      </c>
      <c r="B4" t="s">
        <v>363</v>
      </c>
    </row>
    <row r="5" spans="1:2">
      <c r="A5" t="s">
        <v>364</v>
      </c>
      <c r="B5" t="s">
        <v>365</v>
      </c>
    </row>
    <row r="6" spans="1:2">
      <c r="A6" t="s">
        <v>366</v>
      </c>
      <c r="B6" t="s">
        <v>367</v>
      </c>
    </row>
    <row r="7" spans="1:2">
      <c r="A7" t="s">
        <v>368</v>
      </c>
      <c r="B7" t="s">
        <v>369</v>
      </c>
    </row>
    <row r="8" spans="1:2">
      <c r="A8" t="s">
        <v>370</v>
      </c>
      <c r="B8" t="s">
        <v>371</v>
      </c>
    </row>
    <row r="9" spans="1:2">
      <c r="A9" t="s">
        <v>372</v>
      </c>
      <c r="B9" t="s">
        <v>373</v>
      </c>
    </row>
    <row r="10" spans="1:2">
      <c r="A10" t="s">
        <v>374</v>
      </c>
      <c r="B10" t="s">
        <v>375</v>
      </c>
    </row>
    <row r="11" spans="1:2">
      <c r="A11" t="s">
        <v>376</v>
      </c>
      <c r="B11" t="s">
        <v>377</v>
      </c>
    </row>
    <row r="12" spans="1:2">
      <c r="A12" t="s">
        <v>378</v>
      </c>
      <c r="B12" t="s">
        <v>379</v>
      </c>
    </row>
    <row r="13" spans="1:2">
      <c r="A13" t="s">
        <v>380</v>
      </c>
      <c r="B13" t="s">
        <v>381</v>
      </c>
    </row>
    <row r="14" spans="1:2">
      <c r="A14" t="s">
        <v>156</v>
      </c>
      <c r="B14" t="s">
        <v>382</v>
      </c>
    </row>
    <row r="15" spans="1:2">
      <c r="A15" t="s">
        <v>383</v>
      </c>
      <c r="B15" t="s">
        <v>384</v>
      </c>
    </row>
    <row r="16" spans="1:2">
      <c r="A16" t="s">
        <v>385</v>
      </c>
      <c r="B16" t="s">
        <v>386</v>
      </c>
    </row>
    <row r="17" spans="1:2">
      <c r="A17" t="s">
        <v>387</v>
      </c>
      <c r="B17" t="s">
        <v>388</v>
      </c>
    </row>
    <row r="18" spans="1:2">
      <c r="A18" t="s">
        <v>389</v>
      </c>
      <c r="B18" t="s">
        <v>390</v>
      </c>
    </row>
    <row r="19" spans="1:2">
      <c r="A19" t="s">
        <v>391</v>
      </c>
      <c r="B19" t="s">
        <v>392</v>
      </c>
    </row>
    <row r="20" spans="1:2">
      <c r="A20" t="s">
        <v>393</v>
      </c>
      <c r="B20" t="s">
        <v>394</v>
      </c>
    </row>
    <row r="21" spans="1:2">
      <c r="A21" t="s">
        <v>395</v>
      </c>
      <c r="B21" t="s">
        <v>396</v>
      </c>
    </row>
    <row r="22" spans="1:2">
      <c r="A22" t="s">
        <v>159</v>
      </c>
      <c r="B22" t="s">
        <v>397</v>
      </c>
    </row>
    <row r="23" spans="1:2">
      <c r="A23" t="s">
        <v>398</v>
      </c>
      <c r="B23" t="s">
        <v>399</v>
      </c>
    </row>
    <row r="24" spans="1:2">
      <c r="A24" s="5" t="s">
        <v>347</v>
      </c>
      <c r="B24" s="5" t="s">
        <v>400</v>
      </c>
    </row>
    <row r="25" spans="1:2">
      <c r="A25" t="s">
        <v>401</v>
      </c>
      <c r="B25" t="s">
        <v>402</v>
      </c>
    </row>
    <row r="26" spans="1:2">
      <c r="A26" t="s">
        <v>403</v>
      </c>
      <c r="B26" t="s">
        <v>404</v>
      </c>
    </row>
    <row r="27" spans="1:2">
      <c r="A27" t="s">
        <v>405</v>
      </c>
      <c r="B27" t="s">
        <v>406</v>
      </c>
    </row>
    <row r="28" spans="1:2">
      <c r="A28" t="s">
        <v>407</v>
      </c>
      <c r="B28" t="s">
        <v>408</v>
      </c>
    </row>
    <row r="29" spans="1:2">
      <c r="A29" t="s">
        <v>409</v>
      </c>
      <c r="B29" t="s">
        <v>410</v>
      </c>
    </row>
    <row r="30" spans="1:2">
      <c r="A30" t="s">
        <v>411</v>
      </c>
      <c r="B30" t="s">
        <v>412</v>
      </c>
    </row>
    <row r="32" spans="1:2">
      <c r="A32" s="3" t="s">
        <v>413</v>
      </c>
    </row>
    <row r="33" spans="1:1">
      <c r="A33" s="170" t="s">
        <v>414</v>
      </c>
    </row>
    <row r="34" spans="1:1">
      <c r="A34" s="170" t="s">
        <v>415</v>
      </c>
    </row>
    <row r="35" spans="1:1">
      <c r="A35" s="170" t="s">
        <v>416</v>
      </c>
    </row>
    <row r="36" spans="1:1">
      <c r="A36" s="170" t="s">
        <v>39</v>
      </c>
    </row>
    <row r="38" spans="1:1">
      <c r="A38" s="3" t="s">
        <v>417</v>
      </c>
    </row>
    <row r="39" spans="1:1">
      <c r="A39" s="170" t="s">
        <v>418</v>
      </c>
    </row>
    <row r="40" spans="1:1">
      <c r="A40" s="170" t="s">
        <v>419</v>
      </c>
    </row>
    <row r="41" spans="1:1">
      <c r="A41" s="170" t="s">
        <v>420</v>
      </c>
    </row>
    <row r="42" spans="1:1">
      <c r="A42" s="170" t="s">
        <v>421</v>
      </c>
    </row>
    <row r="43" spans="1:1">
      <c r="A43" s="170" t="s">
        <v>422</v>
      </c>
    </row>
    <row r="44" spans="1:1">
      <c r="A44" s="170"/>
    </row>
    <row r="45" spans="1:1">
      <c r="A45" s="3" t="s">
        <v>423</v>
      </c>
    </row>
    <row r="46" spans="1:1">
      <c r="A46" s="170" t="s">
        <v>424</v>
      </c>
    </row>
    <row r="47" spans="1:1">
      <c r="A47" s="170" t="s">
        <v>425</v>
      </c>
    </row>
    <row r="48" spans="1:1">
      <c r="A48" s="170" t="s">
        <v>426</v>
      </c>
    </row>
    <row r="49" spans="1:1">
      <c r="A49" s="170" t="s">
        <v>427</v>
      </c>
    </row>
    <row r="50" spans="1:1">
      <c r="A50" s="5"/>
    </row>
    <row r="51" spans="1:1">
      <c r="A51" s="3" t="s">
        <v>428</v>
      </c>
    </row>
    <row r="52" spans="1:1">
      <c r="A52" s="170" t="s">
        <v>429</v>
      </c>
    </row>
    <row r="53" spans="1:1">
      <c r="A53" s="170" t="s">
        <v>430</v>
      </c>
    </row>
    <row r="54" spans="1:1">
      <c r="A54" s="170" t="s">
        <v>431</v>
      </c>
    </row>
    <row r="55" spans="1:1">
      <c r="A55" s="170" t="s">
        <v>432</v>
      </c>
    </row>
    <row r="57" spans="1:1">
      <c r="A57" s="3" t="s">
        <v>433</v>
      </c>
    </row>
    <row r="58" spans="1:1">
      <c r="A58" s="170" t="s">
        <v>12</v>
      </c>
    </row>
    <row r="59" spans="1:1">
      <c r="A59" s="170" t="s">
        <v>13</v>
      </c>
    </row>
    <row r="60" spans="1:1">
      <c r="A60" s="170" t="s">
        <v>14</v>
      </c>
    </row>
    <row r="61" spans="1:1">
      <c r="A61" s="170" t="s">
        <v>15</v>
      </c>
    </row>
  </sheetData>
  <sortState xmlns:xlrd2="http://schemas.microsoft.com/office/spreadsheetml/2017/richdata2" ref="A3:A30">
    <sortCondition ref="A3"/>
  </sortState>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Z60"/>
  <sheetViews>
    <sheetView topLeftCell="A22" zoomScaleNormal="100" workbookViewId="0">
      <selection activeCell="L46" sqref="L46"/>
    </sheetView>
  </sheetViews>
  <sheetFormatPr defaultColWidth="9.140625" defaultRowHeight="15"/>
  <cols>
    <col min="1" max="1" width="9.140625" style="147"/>
    <col min="2" max="2" width="11.28515625" style="147" customWidth="1"/>
    <col min="3" max="3" width="48.42578125" style="147" customWidth="1"/>
    <col min="4" max="4" width="11.140625" style="147" hidden="1" customWidth="1"/>
    <col min="5" max="5" width="9.42578125" style="147" customWidth="1"/>
    <col min="6" max="6" width="10.42578125" style="147" customWidth="1"/>
    <col min="7" max="8" width="15.7109375" style="147" hidden="1" customWidth="1"/>
    <col min="9" max="9" width="41.7109375" style="147" hidden="1" customWidth="1"/>
    <col min="10" max="10" width="14.7109375" style="147" hidden="1" customWidth="1"/>
    <col min="11" max="11" width="15" style="147" hidden="1" customWidth="1"/>
    <col min="12" max="17" width="14.7109375" style="147" customWidth="1"/>
    <col min="18" max="25" width="14.7109375" style="147" hidden="1" customWidth="1"/>
    <col min="26" max="26" width="14.7109375" style="147" customWidth="1"/>
    <col min="27" max="27" width="9.140625" style="147" customWidth="1"/>
    <col min="28" max="16384" width="9.140625" style="147"/>
  </cols>
  <sheetData>
    <row r="2" spans="1:26">
      <c r="C2" s="323"/>
    </row>
    <row r="3" spans="1:26">
      <c r="C3" s="323"/>
    </row>
    <row r="5" spans="1:26" ht="18" customHeight="1">
      <c r="B5" s="322" t="str">
        <f>"FY "&amp;MASTER!$B$4&amp;" - "&amp;MASTER!$B$5&amp;" CAPITAL IMPROVEMENT PROGRAM"</f>
        <v>FY 2021 - 2022 CAPITAL IMPROVEMENT PROGRAM</v>
      </c>
      <c r="C5" s="322"/>
      <c r="D5" s="322"/>
      <c r="E5" s="322"/>
      <c r="F5" s="322"/>
      <c r="G5" s="322"/>
      <c r="H5" s="322"/>
      <c r="I5" s="322"/>
      <c r="J5" s="322"/>
      <c r="K5" s="322"/>
      <c r="L5" s="322"/>
      <c r="M5" s="322"/>
      <c r="N5" s="322"/>
      <c r="O5" s="322"/>
      <c r="P5" s="322"/>
      <c r="Q5" s="143"/>
    </row>
    <row r="7" spans="1:26">
      <c r="C7" s="246"/>
      <c r="E7" s="246"/>
    </row>
    <row r="8" spans="1:26" s="156" customFormat="1">
      <c r="A8" s="155" t="s">
        <v>434</v>
      </c>
      <c r="B8" s="155" t="s">
        <v>435</v>
      </c>
      <c r="C8" s="154" t="s">
        <v>436</v>
      </c>
      <c r="D8" s="155"/>
      <c r="E8" s="155" t="s">
        <v>32</v>
      </c>
      <c r="F8" s="155" t="s">
        <v>33</v>
      </c>
      <c r="G8" s="155"/>
      <c r="H8" s="155"/>
      <c r="I8" s="155"/>
      <c r="J8" s="155" t="s">
        <v>437</v>
      </c>
      <c r="K8" s="155" t="s">
        <v>438</v>
      </c>
      <c r="L8" s="171"/>
      <c r="M8" s="293" t="s">
        <v>439</v>
      </c>
      <c r="N8" s="307" t="s">
        <v>440</v>
      </c>
      <c r="O8" s="293" t="s">
        <v>441</v>
      </c>
      <c r="P8" s="293" t="s">
        <v>442</v>
      </c>
      <c r="Q8" s="293" t="s">
        <v>443</v>
      </c>
      <c r="R8" s="260" t="e">
        <f t="shared" ref="R8:X8" si="0">Q8+1</f>
        <v>#VALUE!</v>
      </c>
      <c r="S8" s="260" t="e">
        <f t="shared" si="0"/>
        <v>#VALUE!</v>
      </c>
      <c r="T8" s="260" t="e">
        <f t="shared" si="0"/>
        <v>#VALUE!</v>
      </c>
      <c r="U8" s="260" t="e">
        <f t="shared" si="0"/>
        <v>#VALUE!</v>
      </c>
      <c r="V8" s="260" t="e">
        <f t="shared" si="0"/>
        <v>#VALUE!</v>
      </c>
      <c r="W8" s="260" t="e">
        <f t="shared" si="0"/>
        <v>#VALUE!</v>
      </c>
      <c r="X8" s="260" t="e">
        <f t="shared" si="0"/>
        <v>#VALUE!</v>
      </c>
      <c r="Y8" s="260" t="s">
        <v>444</v>
      </c>
      <c r="Z8" s="293" t="s">
        <v>445</v>
      </c>
    </row>
    <row r="9" spans="1:26" hidden="1">
      <c r="C9" s="148"/>
      <c r="D9" s="148"/>
      <c r="E9" s="148"/>
      <c r="F9" s="148"/>
      <c r="G9" s="148"/>
      <c r="H9" s="148" t="s">
        <v>10</v>
      </c>
      <c r="I9" s="148" t="s">
        <v>446</v>
      </c>
      <c r="J9" s="148"/>
      <c r="K9" s="148"/>
      <c r="L9" s="148"/>
      <c r="M9" s="294"/>
      <c r="N9" s="294"/>
      <c r="O9" s="294"/>
      <c r="P9" s="294"/>
      <c r="Q9" s="294"/>
      <c r="R9" s="261"/>
      <c r="S9" s="261"/>
      <c r="T9" s="261"/>
      <c r="U9" s="261"/>
      <c r="V9" s="261"/>
      <c r="W9" s="261"/>
      <c r="X9" s="262"/>
      <c r="Y9" s="262"/>
      <c r="Z9" s="306">
        <f>SUM(J9:X9)</f>
        <v>0</v>
      </c>
    </row>
    <row r="10" spans="1:26">
      <c r="A10" s="274">
        <v>1</v>
      </c>
      <c r="B10" s="274" t="s">
        <v>447</v>
      </c>
      <c r="C10" s="274" t="s">
        <v>448</v>
      </c>
      <c r="D10" s="163"/>
      <c r="E10" s="279">
        <v>1</v>
      </c>
      <c r="F10" s="281"/>
      <c r="G10" s="282"/>
      <c r="H10" s="283">
        <f>SUM(E10:G10)</f>
        <v>1</v>
      </c>
      <c r="I10" s="284" t="s">
        <v>449</v>
      </c>
      <c r="J10" s="285">
        <v>0</v>
      </c>
      <c r="K10" s="285">
        <v>0</v>
      </c>
      <c r="L10" s="298"/>
      <c r="M10" s="295">
        <v>75000</v>
      </c>
      <c r="N10" s="295">
        <v>325000</v>
      </c>
      <c r="O10" s="295">
        <v>90000</v>
      </c>
      <c r="P10" s="295">
        <v>380000</v>
      </c>
      <c r="Q10" s="295">
        <v>0</v>
      </c>
      <c r="R10" s="263"/>
      <c r="S10" s="263"/>
      <c r="T10" s="263"/>
      <c r="U10" s="263"/>
      <c r="V10" s="263"/>
      <c r="W10" s="263"/>
      <c r="X10" s="262"/>
      <c r="Y10" s="262"/>
      <c r="Z10" s="285">
        <f>SUM(M10:X10)</f>
        <v>870000</v>
      </c>
    </row>
    <row r="11" spans="1:26">
      <c r="A11" s="269">
        <v>2</v>
      </c>
      <c r="B11" s="269" t="s">
        <v>450</v>
      </c>
      <c r="C11" s="269" t="s">
        <v>451</v>
      </c>
      <c r="D11" s="187"/>
      <c r="E11" s="280">
        <v>1</v>
      </c>
      <c r="F11" s="281"/>
      <c r="G11" s="282"/>
      <c r="H11" s="283">
        <f>SUM(E11:G11)</f>
        <v>1</v>
      </c>
      <c r="I11" s="284"/>
      <c r="J11" s="285">
        <v>5000</v>
      </c>
      <c r="K11" s="285">
        <v>0</v>
      </c>
      <c r="L11" s="298"/>
      <c r="M11" s="295">
        <v>25000</v>
      </c>
      <c r="N11" s="295">
        <v>10000</v>
      </c>
      <c r="O11" s="295">
        <v>10000</v>
      </c>
      <c r="P11" s="295">
        <v>10000</v>
      </c>
      <c r="Q11" s="295">
        <v>10000</v>
      </c>
      <c r="R11" s="263"/>
      <c r="S11" s="263"/>
      <c r="T11" s="263"/>
      <c r="U11" s="263"/>
      <c r="V11" s="263"/>
      <c r="W11" s="263"/>
      <c r="X11" s="262"/>
      <c r="Z11" s="285">
        <f>SUM(M11:Q11)</f>
        <v>65000</v>
      </c>
    </row>
    <row r="12" spans="1:26">
      <c r="A12" s="269">
        <v>3</v>
      </c>
      <c r="B12" s="269" t="s">
        <v>452</v>
      </c>
      <c r="C12" s="269" t="s">
        <v>453</v>
      </c>
      <c r="D12" s="163"/>
      <c r="E12" s="280">
        <v>1</v>
      </c>
      <c r="F12" s="281"/>
      <c r="G12" s="282"/>
      <c r="H12" s="283">
        <f>SUM(E12:G12)</f>
        <v>1</v>
      </c>
      <c r="I12" s="284" t="s">
        <v>454</v>
      </c>
      <c r="J12" s="285">
        <v>0</v>
      </c>
      <c r="K12" s="285"/>
      <c r="L12" s="299"/>
      <c r="M12" s="295">
        <v>65000</v>
      </c>
      <c r="N12" s="295">
        <v>117000</v>
      </c>
      <c r="O12" s="295">
        <v>118000</v>
      </c>
      <c r="P12" s="295">
        <v>56000</v>
      </c>
      <c r="Q12" s="295">
        <v>32000</v>
      </c>
      <c r="R12" s="263"/>
      <c r="S12" s="263"/>
      <c r="T12" s="263"/>
      <c r="U12" s="263"/>
      <c r="V12" s="263"/>
      <c r="W12" s="263"/>
      <c r="X12" s="262"/>
      <c r="Y12" s="266"/>
      <c r="Z12" s="285">
        <f>SUM(M12:Y12)</f>
        <v>388000</v>
      </c>
    </row>
    <row r="13" spans="1:26">
      <c r="A13" s="269">
        <v>4</v>
      </c>
      <c r="B13" s="269" t="s">
        <v>455</v>
      </c>
      <c r="C13" s="269" t="s">
        <v>456</v>
      </c>
      <c r="D13" s="163"/>
      <c r="E13" s="280">
        <v>1</v>
      </c>
      <c r="F13" s="281"/>
      <c r="G13" s="282"/>
      <c r="H13" s="283"/>
      <c r="I13" s="284"/>
      <c r="J13" s="285">
        <v>0</v>
      </c>
      <c r="K13" s="285"/>
      <c r="L13" s="298"/>
      <c r="M13" s="295">
        <v>50000</v>
      </c>
      <c r="N13" s="295">
        <v>50000</v>
      </c>
      <c r="O13" s="295">
        <v>50000</v>
      </c>
      <c r="P13" s="295">
        <v>50000</v>
      </c>
      <c r="Q13" s="295">
        <v>50000</v>
      </c>
      <c r="R13" s="264"/>
      <c r="S13" s="264"/>
      <c r="T13" s="264"/>
      <c r="U13" s="264"/>
      <c r="V13" s="264"/>
      <c r="W13" s="264"/>
      <c r="X13" s="265"/>
      <c r="Y13" s="278"/>
      <c r="Z13" s="285">
        <f>SUM(M13:X13)</f>
        <v>250000</v>
      </c>
    </row>
    <row r="14" spans="1:26">
      <c r="A14" s="269">
        <v>5</v>
      </c>
      <c r="B14" s="269" t="s">
        <v>457</v>
      </c>
      <c r="C14" s="269" t="s">
        <v>458</v>
      </c>
      <c r="D14" s="187"/>
      <c r="E14" s="280">
        <v>1</v>
      </c>
      <c r="F14" s="286"/>
      <c r="G14" s="282"/>
      <c r="H14" s="283"/>
      <c r="I14" s="284"/>
      <c r="J14" s="287">
        <v>0</v>
      </c>
      <c r="K14" s="287"/>
      <c r="L14" s="300"/>
      <c r="M14" s="295">
        <v>180000</v>
      </c>
      <c r="N14" s="295">
        <v>160000</v>
      </c>
      <c r="O14" s="295">
        <v>160000</v>
      </c>
      <c r="P14" s="295">
        <v>50000</v>
      </c>
      <c r="Q14" s="295">
        <v>50000</v>
      </c>
      <c r="R14" s="266"/>
      <c r="S14" s="266"/>
      <c r="T14" s="266"/>
      <c r="U14" s="266"/>
      <c r="V14" s="266"/>
      <c r="W14" s="266"/>
      <c r="X14" s="266"/>
      <c r="Y14" s="266"/>
      <c r="Z14" s="287">
        <f>SUM(M14:Y14)</f>
        <v>600000</v>
      </c>
    </row>
    <row r="15" spans="1:26">
      <c r="A15" s="269">
        <v>6</v>
      </c>
      <c r="B15" s="269" t="s">
        <v>459</v>
      </c>
      <c r="C15" s="269" t="s">
        <v>460</v>
      </c>
      <c r="D15" s="251"/>
      <c r="E15" s="280">
        <v>1</v>
      </c>
      <c r="F15" s="281"/>
      <c r="G15" s="282"/>
      <c r="H15" s="283">
        <f>SUM(E15:G15)</f>
        <v>1</v>
      </c>
      <c r="I15" s="284" t="s">
        <v>449</v>
      </c>
      <c r="J15" s="285">
        <v>59309</v>
      </c>
      <c r="K15" s="285"/>
      <c r="L15" s="298"/>
      <c r="M15" s="295">
        <v>25000</v>
      </c>
      <c r="N15" s="295">
        <v>0</v>
      </c>
      <c r="O15" s="295">
        <v>0</v>
      </c>
      <c r="P15" s="295">
        <v>25000</v>
      </c>
      <c r="Q15" s="295">
        <v>100000</v>
      </c>
      <c r="R15" s="267"/>
      <c r="S15" s="267"/>
      <c r="T15" s="267"/>
      <c r="U15" s="267"/>
      <c r="V15" s="267"/>
      <c r="W15" s="267"/>
      <c r="X15" s="268"/>
      <c r="Y15" s="268"/>
      <c r="Z15" s="285">
        <f>SUM(M15:X15)</f>
        <v>150000</v>
      </c>
    </row>
    <row r="16" spans="1:26">
      <c r="A16" s="269">
        <v>7</v>
      </c>
      <c r="B16" s="269" t="s">
        <v>461</v>
      </c>
      <c r="C16" s="269" t="s">
        <v>462</v>
      </c>
      <c r="D16" s="187"/>
      <c r="E16" s="280">
        <v>1</v>
      </c>
      <c r="F16" s="281"/>
      <c r="G16" s="282"/>
      <c r="H16" s="283">
        <f t="shared" ref="H16:H35" si="1">SUM(E16:G16)</f>
        <v>1</v>
      </c>
      <c r="I16" s="284" t="s">
        <v>463</v>
      </c>
      <c r="J16" s="285">
        <v>35000</v>
      </c>
      <c r="K16" s="285"/>
      <c r="L16" s="298"/>
      <c r="M16" s="295">
        <v>0</v>
      </c>
      <c r="N16" s="295">
        <v>0</v>
      </c>
      <c r="O16" s="295">
        <v>75000</v>
      </c>
      <c r="P16" s="295">
        <v>0</v>
      </c>
      <c r="Q16" s="295">
        <v>0</v>
      </c>
      <c r="R16" s="264"/>
      <c r="S16" s="264"/>
      <c r="T16" s="264"/>
      <c r="U16" s="264"/>
      <c r="V16" s="264"/>
      <c r="W16" s="264"/>
      <c r="X16" s="265"/>
      <c r="Y16" s="265"/>
      <c r="Z16" s="285">
        <f>SUM(M16:X16)</f>
        <v>75000</v>
      </c>
    </row>
    <row r="17" spans="1:26">
      <c r="A17" s="269">
        <v>8</v>
      </c>
      <c r="B17" s="269" t="s">
        <v>464</v>
      </c>
      <c r="C17" s="269" t="s">
        <v>465</v>
      </c>
      <c r="D17" s="251"/>
      <c r="E17" s="280">
        <v>1</v>
      </c>
      <c r="F17" s="281"/>
      <c r="G17" s="282"/>
      <c r="H17" s="283">
        <f t="shared" si="1"/>
        <v>1</v>
      </c>
      <c r="I17" s="284" t="s">
        <v>449</v>
      </c>
      <c r="J17" s="285">
        <v>0</v>
      </c>
      <c r="K17" s="285"/>
      <c r="L17" s="298"/>
      <c r="M17" s="295">
        <v>0</v>
      </c>
      <c r="N17" s="295">
        <v>0</v>
      </c>
      <c r="O17" s="295">
        <v>15000</v>
      </c>
      <c r="P17" s="295">
        <v>70000</v>
      </c>
      <c r="Q17" s="295">
        <v>0</v>
      </c>
      <c r="R17" s="267"/>
      <c r="S17" s="267"/>
      <c r="T17" s="267"/>
      <c r="U17" s="267"/>
      <c r="V17" s="267"/>
      <c r="W17" s="267"/>
      <c r="X17" s="268"/>
      <c r="Y17" s="268"/>
      <c r="Z17" s="285">
        <f t="shared" ref="Z17:Z28" si="2">SUM(M17:X17)</f>
        <v>85000</v>
      </c>
    </row>
    <row r="18" spans="1:26" s="184" customFormat="1">
      <c r="A18" s="269">
        <v>9</v>
      </c>
      <c r="B18" s="269" t="s">
        <v>466</v>
      </c>
      <c r="C18" s="269" t="s">
        <v>467</v>
      </c>
      <c r="D18" s="187"/>
      <c r="E18" s="289">
        <v>1</v>
      </c>
      <c r="F18" s="281"/>
      <c r="G18" s="282"/>
      <c r="H18" s="283">
        <f t="shared" si="1"/>
        <v>1</v>
      </c>
      <c r="I18" s="284" t="s">
        <v>468</v>
      </c>
      <c r="J18" s="285">
        <v>0</v>
      </c>
      <c r="K18" s="285"/>
      <c r="L18" s="301"/>
      <c r="M18" s="295">
        <v>15000</v>
      </c>
      <c r="N18" s="295">
        <v>0</v>
      </c>
      <c r="O18" s="295">
        <v>0</v>
      </c>
      <c r="P18" s="295">
        <v>0</v>
      </c>
      <c r="Q18" s="295">
        <v>0</v>
      </c>
      <c r="R18" s="264"/>
      <c r="S18" s="264"/>
      <c r="T18" s="264"/>
      <c r="U18" s="264"/>
      <c r="V18" s="264"/>
      <c r="W18" s="264"/>
      <c r="X18" s="265"/>
      <c r="Y18" s="265"/>
      <c r="Z18" s="285">
        <f t="shared" si="2"/>
        <v>15000</v>
      </c>
    </row>
    <row r="19" spans="1:26" s="184" customFormat="1" ht="16.5" customHeight="1">
      <c r="A19" s="270">
        <v>10</v>
      </c>
      <c r="B19" s="270" t="s">
        <v>469</v>
      </c>
      <c r="C19" s="270" t="s">
        <v>470</v>
      </c>
      <c r="D19" s="251"/>
      <c r="E19" s="288"/>
      <c r="F19" s="271">
        <v>1</v>
      </c>
      <c r="G19" s="252"/>
      <c r="H19" s="253">
        <f t="shared" si="1"/>
        <v>1</v>
      </c>
      <c r="I19" s="254"/>
      <c r="J19" s="250">
        <v>9000</v>
      </c>
      <c r="K19" s="250">
        <v>0</v>
      </c>
      <c r="L19" s="302"/>
      <c r="M19" s="296">
        <v>0</v>
      </c>
      <c r="N19" s="296">
        <v>30000</v>
      </c>
      <c r="O19" s="296">
        <v>270000</v>
      </c>
      <c r="P19" s="296">
        <v>0</v>
      </c>
      <c r="Q19" s="296">
        <v>0</v>
      </c>
      <c r="R19" s="267"/>
      <c r="S19" s="267"/>
      <c r="T19" s="267"/>
      <c r="U19" s="267"/>
      <c r="V19" s="267"/>
      <c r="W19" s="267"/>
      <c r="X19" s="268"/>
      <c r="Y19" s="268"/>
      <c r="Z19" s="290">
        <f t="shared" si="2"/>
        <v>300000</v>
      </c>
    </row>
    <row r="20" spans="1:26" s="184" customFormat="1">
      <c r="A20" s="270">
        <v>11</v>
      </c>
      <c r="B20" s="270" t="s">
        <v>471</v>
      </c>
      <c r="C20" s="270" t="s">
        <v>472</v>
      </c>
      <c r="D20" s="187"/>
      <c r="E20" s="288"/>
      <c r="F20" s="271">
        <v>1</v>
      </c>
      <c r="G20" s="188"/>
      <c r="H20" s="189">
        <f t="shared" ref="H20:H27" si="3">SUM(E20:G20)</f>
        <v>1</v>
      </c>
      <c r="I20" s="190" t="s">
        <v>473</v>
      </c>
      <c r="J20" s="160">
        <v>40000</v>
      </c>
      <c r="K20" s="160">
        <v>0</v>
      </c>
      <c r="L20" s="302"/>
      <c r="M20" s="296">
        <v>120000</v>
      </c>
      <c r="N20" s="296">
        <v>0</v>
      </c>
      <c r="O20" s="296">
        <v>0</v>
      </c>
      <c r="P20" s="296">
        <v>30000</v>
      </c>
      <c r="Q20" s="296">
        <v>110000</v>
      </c>
      <c r="R20" s="264"/>
      <c r="S20" s="264"/>
      <c r="T20" s="264"/>
      <c r="U20" s="264"/>
      <c r="V20" s="264"/>
      <c r="W20" s="264"/>
      <c r="X20" s="265"/>
      <c r="Y20" s="265"/>
      <c r="Z20" s="290">
        <f t="shared" si="2"/>
        <v>260000</v>
      </c>
    </row>
    <row r="21" spans="1:26" s="184" customFormat="1">
      <c r="A21" s="270">
        <v>12</v>
      </c>
      <c r="B21" s="270" t="s">
        <v>474</v>
      </c>
      <c r="C21" s="270" t="s">
        <v>475</v>
      </c>
      <c r="D21" s="251"/>
      <c r="E21" s="288"/>
      <c r="F21" s="271">
        <v>1</v>
      </c>
      <c r="G21" s="252"/>
      <c r="H21" s="253"/>
      <c r="I21" s="254"/>
      <c r="J21" s="250">
        <v>0</v>
      </c>
      <c r="K21" s="250"/>
      <c r="L21" s="302"/>
      <c r="M21" s="296">
        <f>65000*0</f>
        <v>0</v>
      </c>
      <c r="N21" s="296">
        <f>85000*0</f>
        <v>0</v>
      </c>
      <c r="O21" s="296">
        <f>75000*0</f>
        <v>0</v>
      </c>
      <c r="P21" s="296">
        <f>100000*0</f>
        <v>0</v>
      </c>
      <c r="Q21" s="296">
        <f>60000*0</f>
        <v>0</v>
      </c>
      <c r="R21" s="267"/>
      <c r="S21" s="267"/>
      <c r="T21" s="267"/>
      <c r="U21" s="267"/>
      <c r="V21" s="267"/>
      <c r="W21" s="267"/>
      <c r="X21" s="268"/>
      <c r="Y21" s="268"/>
      <c r="Z21" s="290">
        <f t="shared" si="2"/>
        <v>0</v>
      </c>
    </row>
    <row r="22" spans="1:26" s="184" customFormat="1">
      <c r="A22" s="270">
        <v>13</v>
      </c>
      <c r="B22" s="270" t="s">
        <v>476</v>
      </c>
      <c r="C22" s="270" t="s">
        <v>477</v>
      </c>
      <c r="D22" s="187"/>
      <c r="E22" s="288"/>
      <c r="F22" s="271">
        <v>1</v>
      </c>
      <c r="G22" s="188"/>
      <c r="H22" s="189">
        <f t="shared" si="3"/>
        <v>1</v>
      </c>
      <c r="I22" s="190"/>
      <c r="J22" s="160">
        <v>10000</v>
      </c>
      <c r="K22" s="160"/>
      <c r="L22" s="302"/>
      <c r="M22" s="296">
        <v>50000</v>
      </c>
      <c r="N22" s="296">
        <v>150000</v>
      </c>
      <c r="O22" s="296">
        <f>700000*0</f>
        <v>0</v>
      </c>
      <c r="P22" s="296">
        <v>0</v>
      </c>
      <c r="Q22" s="296">
        <v>0</v>
      </c>
      <c r="R22" s="264"/>
      <c r="S22" s="264"/>
      <c r="T22" s="264"/>
      <c r="U22" s="264"/>
      <c r="V22" s="264"/>
      <c r="W22" s="264"/>
      <c r="X22" s="265"/>
      <c r="Y22" s="265"/>
      <c r="Z22" s="290">
        <f t="shared" si="2"/>
        <v>200000</v>
      </c>
    </row>
    <row r="23" spans="1:26" s="184" customFormat="1">
      <c r="A23" s="270">
        <v>15</v>
      </c>
      <c r="B23" s="270" t="s">
        <v>478</v>
      </c>
      <c r="C23" s="270" t="s">
        <v>479</v>
      </c>
      <c r="D23" s="251"/>
      <c r="E23" s="288"/>
      <c r="F23" s="271">
        <v>1</v>
      </c>
      <c r="G23" s="252"/>
      <c r="H23" s="253">
        <f t="shared" si="3"/>
        <v>1</v>
      </c>
      <c r="I23" s="254"/>
      <c r="J23" s="250">
        <v>15000</v>
      </c>
      <c r="K23" s="250"/>
      <c r="L23" s="302"/>
      <c r="M23" s="296">
        <v>200000</v>
      </c>
      <c r="N23" s="296">
        <v>200000</v>
      </c>
      <c r="O23" s="296">
        <v>300000</v>
      </c>
      <c r="P23" s="296">
        <v>600000</v>
      </c>
      <c r="Q23" s="296">
        <v>300000</v>
      </c>
      <c r="R23" s="267">
        <v>0</v>
      </c>
      <c r="S23" s="267">
        <v>0</v>
      </c>
      <c r="T23" s="267">
        <v>0</v>
      </c>
      <c r="U23" s="267">
        <v>0</v>
      </c>
      <c r="V23" s="267">
        <v>0</v>
      </c>
      <c r="W23" s="267">
        <v>0</v>
      </c>
      <c r="X23" s="268">
        <v>0</v>
      </c>
      <c r="Y23" s="268"/>
      <c r="Z23" s="290">
        <f t="shared" si="2"/>
        <v>1600000</v>
      </c>
    </row>
    <row r="24" spans="1:26" s="184" customFormat="1">
      <c r="A24" s="270">
        <v>16</v>
      </c>
      <c r="B24" s="270" t="s">
        <v>480</v>
      </c>
      <c r="C24" s="270" t="s">
        <v>481</v>
      </c>
      <c r="D24" s="187"/>
      <c r="E24" s="288"/>
      <c r="F24" s="271">
        <v>1</v>
      </c>
      <c r="G24" s="188"/>
      <c r="H24" s="189">
        <f t="shared" si="3"/>
        <v>1</v>
      </c>
      <c r="I24" s="190"/>
      <c r="J24" s="160">
        <v>0</v>
      </c>
      <c r="K24" s="160"/>
      <c r="L24" s="303"/>
      <c r="M24" s="296">
        <v>0</v>
      </c>
      <c r="N24" s="296">
        <v>0</v>
      </c>
      <c r="O24" s="296">
        <v>0</v>
      </c>
      <c r="P24" s="296">
        <v>85000</v>
      </c>
      <c r="Q24" s="296">
        <v>0</v>
      </c>
      <c r="R24" s="264"/>
      <c r="S24" s="264"/>
      <c r="T24" s="264"/>
      <c r="U24" s="264"/>
      <c r="V24" s="264"/>
      <c r="W24" s="264"/>
      <c r="X24" s="265"/>
      <c r="Y24" s="265"/>
      <c r="Z24" s="290">
        <f t="shared" si="2"/>
        <v>85000</v>
      </c>
    </row>
    <row r="25" spans="1:26" s="184" customFormat="1">
      <c r="A25" s="272">
        <v>17</v>
      </c>
      <c r="B25" s="272" t="s">
        <v>482</v>
      </c>
      <c r="C25" s="272" t="s">
        <v>483</v>
      </c>
      <c r="D25" s="251"/>
      <c r="E25" s="276">
        <v>0.5</v>
      </c>
      <c r="F25" s="275">
        <v>0.5</v>
      </c>
      <c r="G25" s="252"/>
      <c r="H25" s="253">
        <f t="shared" si="3"/>
        <v>1</v>
      </c>
      <c r="I25" s="254"/>
      <c r="J25" s="250">
        <v>0</v>
      </c>
      <c r="K25" s="250"/>
      <c r="L25" s="304"/>
      <c r="M25" s="297">
        <v>1450000</v>
      </c>
      <c r="N25" s="297">
        <f>150000*0</f>
        <v>0</v>
      </c>
      <c r="O25" s="297">
        <v>0</v>
      </c>
      <c r="P25" s="297">
        <v>0</v>
      </c>
      <c r="Q25" s="297">
        <v>0</v>
      </c>
      <c r="R25" s="267"/>
      <c r="S25" s="267"/>
      <c r="T25" s="267"/>
      <c r="U25" s="267"/>
      <c r="V25" s="267"/>
      <c r="W25" s="267"/>
      <c r="X25" s="268"/>
      <c r="Y25" s="268"/>
      <c r="Z25" s="291">
        <f t="shared" si="2"/>
        <v>1450000</v>
      </c>
    </row>
    <row r="26" spans="1:26">
      <c r="A26" s="272">
        <v>18</v>
      </c>
      <c r="B26" s="272" t="s">
        <v>484</v>
      </c>
      <c r="C26" s="272" t="s">
        <v>485</v>
      </c>
      <c r="D26" s="187"/>
      <c r="E26" s="276">
        <v>0.5</v>
      </c>
      <c r="F26" s="273">
        <v>0.5</v>
      </c>
      <c r="G26" s="188"/>
      <c r="H26" s="189"/>
      <c r="I26" s="190"/>
      <c r="J26" s="160">
        <v>0</v>
      </c>
      <c r="K26" s="160"/>
      <c r="L26" s="305"/>
      <c r="M26" s="297">
        <v>15000</v>
      </c>
      <c r="N26" s="297">
        <v>8000</v>
      </c>
      <c r="O26" s="297">
        <v>8000</v>
      </c>
      <c r="P26" s="297">
        <v>8000</v>
      </c>
      <c r="Q26" s="297">
        <v>8000</v>
      </c>
      <c r="R26" s="264"/>
      <c r="S26" s="264"/>
      <c r="T26" s="264"/>
      <c r="U26" s="264"/>
      <c r="V26" s="264"/>
      <c r="W26" s="264"/>
      <c r="X26" s="265"/>
      <c r="Y26" s="265"/>
      <c r="Z26" s="292">
        <f t="shared" si="2"/>
        <v>47000</v>
      </c>
    </row>
    <row r="27" spans="1:26">
      <c r="A27" s="272">
        <v>19</v>
      </c>
      <c r="B27" s="272" t="s">
        <v>486</v>
      </c>
      <c r="C27" s="272" t="s">
        <v>487</v>
      </c>
      <c r="D27" s="251"/>
      <c r="E27" s="276">
        <v>0.5</v>
      </c>
      <c r="F27" s="273">
        <v>0.5</v>
      </c>
      <c r="G27" s="252"/>
      <c r="H27" s="253">
        <f t="shared" si="3"/>
        <v>1</v>
      </c>
      <c r="I27" s="254" t="s">
        <v>488</v>
      </c>
      <c r="J27" s="250">
        <v>0</v>
      </c>
      <c r="K27" s="250"/>
      <c r="L27" s="304"/>
      <c r="M27" s="297">
        <v>0</v>
      </c>
      <c r="N27" s="297">
        <v>80000</v>
      </c>
      <c r="O27" s="297">
        <v>0</v>
      </c>
      <c r="P27" s="297">
        <v>80000</v>
      </c>
      <c r="Q27" s="297">
        <v>0</v>
      </c>
      <c r="R27" s="267"/>
      <c r="S27" s="267"/>
      <c r="T27" s="267"/>
      <c r="U27" s="267"/>
      <c r="V27" s="267"/>
      <c r="W27" s="267"/>
      <c r="X27" s="268"/>
      <c r="Y27" s="268"/>
      <c r="Z27" s="291">
        <f t="shared" si="2"/>
        <v>160000</v>
      </c>
    </row>
    <row r="28" spans="1:26" s="184" customFormat="1">
      <c r="A28" s="272">
        <v>20</v>
      </c>
      <c r="B28" s="272" t="s">
        <v>489</v>
      </c>
      <c r="C28" s="272" t="s">
        <v>490</v>
      </c>
      <c r="D28" s="187"/>
      <c r="E28" s="276">
        <v>0.5</v>
      </c>
      <c r="F28" s="273">
        <v>0.5</v>
      </c>
      <c r="G28" s="188"/>
      <c r="H28" s="189">
        <f t="shared" ref="H28" si="4">SUM(E28:G28)</f>
        <v>1</v>
      </c>
      <c r="I28" s="190"/>
      <c r="J28" s="160">
        <v>5000</v>
      </c>
      <c r="K28" s="160"/>
      <c r="L28" s="305"/>
      <c r="M28" s="297">
        <v>0</v>
      </c>
      <c r="N28" s="297">
        <v>0</v>
      </c>
      <c r="O28" s="297">
        <v>0</v>
      </c>
      <c r="P28" s="297">
        <v>0</v>
      </c>
      <c r="Q28" s="297">
        <v>50000</v>
      </c>
      <c r="R28" s="264"/>
      <c r="S28" s="264"/>
      <c r="T28" s="264"/>
      <c r="U28" s="264"/>
      <c r="V28" s="264"/>
      <c r="W28" s="264"/>
      <c r="X28" s="265"/>
      <c r="Y28" s="265"/>
      <c r="Z28" s="292">
        <f t="shared" si="2"/>
        <v>50000</v>
      </c>
    </row>
    <row r="29" spans="1:26" s="184" customFormat="1" ht="15" hidden="1" customHeight="1">
      <c r="A29" s="161">
        <v>18</v>
      </c>
      <c r="B29" s="223"/>
      <c r="C29" s="162"/>
      <c r="D29" s="163"/>
      <c r="E29" s="224"/>
      <c r="F29" s="224"/>
      <c r="G29" s="164"/>
      <c r="H29" s="165"/>
      <c r="I29" s="166"/>
      <c r="J29" s="167"/>
      <c r="K29" s="167"/>
      <c r="L29" s="167"/>
      <c r="M29" s="167"/>
      <c r="N29" s="167"/>
      <c r="O29" s="167"/>
      <c r="P29" s="167"/>
      <c r="Q29" s="150"/>
      <c r="R29" s="150"/>
      <c r="S29" s="150"/>
      <c r="T29" s="150"/>
      <c r="U29" s="150"/>
      <c r="V29" s="150"/>
      <c r="W29" s="150"/>
      <c r="X29" s="147"/>
      <c r="Y29" s="147"/>
      <c r="Z29" s="167"/>
    </row>
    <row r="30" spans="1:26" s="184" customFormat="1" hidden="1">
      <c r="A30" s="183">
        <v>21</v>
      </c>
      <c r="B30" s="183"/>
      <c r="C30" s="149" t="s">
        <v>491</v>
      </c>
      <c r="E30" s="188"/>
      <c r="F30" s="188"/>
      <c r="G30" s="188"/>
      <c r="H30" s="189">
        <f t="shared" si="1"/>
        <v>0</v>
      </c>
      <c r="L30" s="191"/>
      <c r="M30" s="191"/>
      <c r="N30" s="191"/>
      <c r="O30" s="191"/>
      <c r="P30" s="191"/>
      <c r="Q30" s="191"/>
      <c r="R30" s="191"/>
      <c r="S30" s="191"/>
      <c r="T30" s="191"/>
      <c r="U30" s="191"/>
      <c r="V30" s="191"/>
      <c r="W30" s="191"/>
      <c r="Z30" s="191">
        <f t="shared" ref="Z30:Z39" si="5">SUM(L30:P30)</f>
        <v>0</v>
      </c>
    </row>
    <row r="31" spans="1:26" s="184" customFormat="1" hidden="1">
      <c r="A31" s="183">
        <v>22</v>
      </c>
      <c r="B31" s="183"/>
      <c r="C31" s="149" t="s">
        <v>491</v>
      </c>
      <c r="E31" s="188"/>
      <c r="F31" s="188"/>
      <c r="G31" s="188"/>
      <c r="H31" s="189">
        <f t="shared" si="1"/>
        <v>0</v>
      </c>
      <c r="L31" s="191"/>
      <c r="M31" s="191"/>
      <c r="N31" s="191"/>
      <c r="O31" s="191"/>
      <c r="P31" s="191"/>
      <c r="Q31" s="191"/>
      <c r="R31" s="191"/>
      <c r="S31" s="191"/>
      <c r="T31" s="191"/>
      <c r="U31" s="191"/>
      <c r="V31" s="191"/>
      <c r="W31" s="191"/>
      <c r="Z31" s="191">
        <f t="shared" si="5"/>
        <v>0</v>
      </c>
    </row>
    <row r="32" spans="1:26" s="184" customFormat="1" hidden="1">
      <c r="A32" s="183">
        <v>23</v>
      </c>
      <c r="B32" s="183"/>
      <c r="C32" s="149" t="s">
        <v>491</v>
      </c>
      <c r="E32" s="188"/>
      <c r="F32" s="188"/>
      <c r="G32" s="188"/>
      <c r="H32" s="189">
        <f t="shared" si="1"/>
        <v>0</v>
      </c>
      <c r="L32" s="191"/>
      <c r="M32" s="191"/>
      <c r="N32" s="191"/>
      <c r="O32" s="191"/>
      <c r="P32" s="191"/>
      <c r="Q32" s="191"/>
      <c r="R32" s="191"/>
      <c r="S32" s="191"/>
      <c r="T32" s="191"/>
      <c r="U32" s="191"/>
      <c r="V32" s="191"/>
      <c r="W32" s="191"/>
      <c r="Z32" s="191">
        <f t="shared" si="5"/>
        <v>0</v>
      </c>
    </row>
    <row r="33" spans="1:26" s="184" customFormat="1" hidden="1">
      <c r="A33" s="183">
        <v>24</v>
      </c>
      <c r="B33" s="183"/>
      <c r="C33" s="149" t="s">
        <v>491</v>
      </c>
      <c r="E33" s="188"/>
      <c r="F33" s="188"/>
      <c r="G33" s="188"/>
      <c r="H33" s="189">
        <f t="shared" si="1"/>
        <v>0</v>
      </c>
      <c r="L33" s="191"/>
      <c r="M33" s="191"/>
      <c r="N33" s="191"/>
      <c r="O33" s="191"/>
      <c r="P33" s="191"/>
      <c r="Q33" s="191"/>
      <c r="R33" s="191"/>
      <c r="S33" s="191"/>
      <c r="T33" s="191"/>
      <c r="U33" s="191"/>
      <c r="V33" s="191"/>
      <c r="W33" s="191"/>
      <c r="Z33" s="191">
        <f t="shared" si="5"/>
        <v>0</v>
      </c>
    </row>
    <row r="34" spans="1:26" s="184" customFormat="1" hidden="1">
      <c r="A34" s="183">
        <v>25</v>
      </c>
      <c r="B34" s="183"/>
      <c r="C34" s="149" t="s">
        <v>491</v>
      </c>
      <c r="E34" s="188"/>
      <c r="F34" s="188"/>
      <c r="G34" s="188"/>
      <c r="H34" s="189">
        <f t="shared" si="1"/>
        <v>0</v>
      </c>
      <c r="L34" s="191"/>
      <c r="M34" s="191"/>
      <c r="N34" s="191"/>
      <c r="O34" s="191"/>
      <c r="P34" s="191"/>
      <c r="Q34" s="191"/>
      <c r="R34" s="191"/>
      <c r="S34" s="191"/>
      <c r="T34" s="191"/>
      <c r="U34" s="191"/>
      <c r="V34" s="191"/>
      <c r="W34" s="191"/>
      <c r="Z34" s="191">
        <f t="shared" si="5"/>
        <v>0</v>
      </c>
    </row>
    <row r="35" spans="1:26" s="184" customFormat="1" hidden="1">
      <c r="A35" s="183">
        <v>26</v>
      </c>
      <c r="B35" s="183"/>
      <c r="C35" s="149" t="s">
        <v>491</v>
      </c>
      <c r="E35" s="188"/>
      <c r="F35" s="188"/>
      <c r="G35" s="188"/>
      <c r="H35" s="189">
        <f t="shared" si="1"/>
        <v>0</v>
      </c>
      <c r="L35" s="191"/>
      <c r="M35" s="191"/>
      <c r="N35" s="191"/>
      <c r="O35" s="191"/>
      <c r="P35" s="191"/>
      <c r="Q35" s="191"/>
      <c r="R35" s="191"/>
      <c r="S35" s="191"/>
      <c r="T35" s="191"/>
      <c r="U35" s="191"/>
      <c r="V35" s="191"/>
      <c r="W35" s="191"/>
      <c r="Z35" s="191">
        <f t="shared" si="5"/>
        <v>0</v>
      </c>
    </row>
    <row r="36" spans="1:26" s="184" customFormat="1" hidden="1">
      <c r="A36" s="183">
        <v>27</v>
      </c>
      <c r="B36" s="183"/>
      <c r="Z36" s="184">
        <f t="shared" si="5"/>
        <v>0</v>
      </c>
    </row>
    <row r="37" spans="1:26" s="184" customFormat="1">
      <c r="B37" s="222"/>
      <c r="C37" s="192" t="s">
        <v>32</v>
      </c>
      <c r="D37" s="193"/>
      <c r="E37" s="193"/>
      <c r="F37" s="193"/>
      <c r="G37" s="193"/>
      <c r="H37" s="193"/>
      <c r="I37" s="193"/>
      <c r="J37" s="194">
        <f>SUMPRODUCT($E$10:$E$35,J$10:J$35)</f>
        <v>101809</v>
      </c>
      <c r="K37" s="194">
        <f>SUMPRODUCT($E$10:$E$35,K$10:K$35)</f>
        <v>0</v>
      </c>
      <c r="L37" s="194"/>
      <c r="M37" s="194">
        <f t="shared" ref="M37:X37" si="6">SUMPRODUCT($E$10:$E$35,M$10:M$35)</f>
        <v>1167500</v>
      </c>
      <c r="N37" s="194">
        <f t="shared" si="6"/>
        <v>706000</v>
      </c>
      <c r="O37" s="194">
        <f t="shared" si="6"/>
        <v>522000</v>
      </c>
      <c r="P37" s="194">
        <f t="shared" si="6"/>
        <v>685000</v>
      </c>
      <c r="Q37" s="194">
        <f t="shared" si="6"/>
        <v>271000</v>
      </c>
      <c r="R37" s="194">
        <f t="shared" si="6"/>
        <v>0</v>
      </c>
      <c r="S37" s="194">
        <f t="shared" si="6"/>
        <v>0</v>
      </c>
      <c r="T37" s="194">
        <f t="shared" si="6"/>
        <v>0</v>
      </c>
      <c r="U37" s="194">
        <f t="shared" si="6"/>
        <v>0</v>
      </c>
      <c r="V37" s="194">
        <f t="shared" si="6"/>
        <v>0</v>
      </c>
      <c r="W37" s="194">
        <f t="shared" si="6"/>
        <v>0</v>
      </c>
      <c r="X37" s="194">
        <f t="shared" si="6"/>
        <v>0</v>
      </c>
      <c r="Y37" s="194"/>
      <c r="Z37" s="194">
        <f>SUM(M37:Q37)</f>
        <v>3351500</v>
      </c>
    </row>
    <row r="38" spans="1:26" s="184" customFormat="1">
      <c r="B38" s="222"/>
      <c r="C38" s="185" t="s">
        <v>33</v>
      </c>
      <c r="J38" s="186">
        <f>SUMPRODUCT($F$15:$F$35,J$15:J$35)</f>
        <v>76500</v>
      </c>
      <c r="K38" s="186">
        <f>SUMPRODUCT($F$15:$F$35,K$15:K$35)</f>
        <v>0</v>
      </c>
      <c r="L38" s="186"/>
      <c r="M38" s="186">
        <f t="shared" ref="M38:X38" si="7">SUMPRODUCT($F$15:$F$35,M$15:M$35)</f>
        <v>1102500</v>
      </c>
      <c r="N38" s="186">
        <f t="shared" si="7"/>
        <v>424000</v>
      </c>
      <c r="O38" s="186">
        <f t="shared" si="7"/>
        <v>574000</v>
      </c>
      <c r="P38" s="186">
        <f t="shared" si="7"/>
        <v>759000</v>
      </c>
      <c r="Q38" s="186">
        <f t="shared" si="7"/>
        <v>439000</v>
      </c>
      <c r="R38" s="186">
        <f t="shared" si="7"/>
        <v>0</v>
      </c>
      <c r="S38" s="186">
        <f t="shared" si="7"/>
        <v>0</v>
      </c>
      <c r="T38" s="186">
        <f t="shared" si="7"/>
        <v>0</v>
      </c>
      <c r="U38" s="186">
        <f t="shared" si="7"/>
        <v>0</v>
      </c>
      <c r="V38" s="186">
        <f t="shared" si="7"/>
        <v>0</v>
      </c>
      <c r="W38" s="186">
        <f t="shared" si="7"/>
        <v>0</v>
      </c>
      <c r="X38" s="186">
        <f t="shared" si="7"/>
        <v>0</v>
      </c>
      <c r="Y38" s="186"/>
      <c r="Z38" s="186">
        <f>SUM(M38:Q38)</f>
        <v>3298500</v>
      </c>
    </row>
    <row r="39" spans="1:26">
      <c r="A39" s="184"/>
      <c r="B39" s="184"/>
      <c r="C39" s="185" t="s">
        <v>34</v>
      </c>
      <c r="D39" s="184"/>
      <c r="E39" s="184"/>
      <c r="F39" s="184"/>
      <c r="G39" s="184"/>
      <c r="H39" s="184"/>
      <c r="I39" s="184"/>
      <c r="J39" s="186">
        <f>SUMPRODUCT($G$15:$G$35,J$15:J$35)</f>
        <v>0</v>
      </c>
      <c r="K39" s="186">
        <f>SUMPRODUCT($G$15:$G$35,K$15:K$35)</f>
        <v>0</v>
      </c>
      <c r="L39" s="186"/>
      <c r="M39" s="186">
        <v>150000</v>
      </c>
      <c r="N39" s="186">
        <f t="shared" ref="N39:W39" si="8">SUMPRODUCT($G$15:$G$35,N$15:N$35)</f>
        <v>0</v>
      </c>
      <c r="O39" s="186">
        <f t="shared" si="8"/>
        <v>0</v>
      </c>
      <c r="P39" s="186">
        <f t="shared" si="8"/>
        <v>0</v>
      </c>
      <c r="Q39" s="151">
        <f t="shared" si="8"/>
        <v>0</v>
      </c>
      <c r="R39" s="151">
        <f t="shared" si="8"/>
        <v>0</v>
      </c>
      <c r="S39" s="151">
        <f t="shared" si="8"/>
        <v>0</v>
      </c>
      <c r="T39" s="151">
        <f t="shared" si="8"/>
        <v>0</v>
      </c>
      <c r="U39" s="151">
        <f t="shared" si="8"/>
        <v>0</v>
      </c>
      <c r="V39" s="151">
        <f t="shared" si="8"/>
        <v>0</v>
      </c>
      <c r="W39" s="151">
        <f t="shared" si="8"/>
        <v>0</v>
      </c>
      <c r="Z39" s="186">
        <f t="shared" si="5"/>
        <v>150000</v>
      </c>
    </row>
    <row r="40" spans="1:26">
      <c r="A40" s="184"/>
      <c r="B40" s="222"/>
      <c r="C40" s="195" t="s">
        <v>10</v>
      </c>
      <c r="D40" s="195"/>
      <c r="E40" s="195"/>
      <c r="F40" s="195"/>
      <c r="G40" s="195"/>
      <c r="H40" s="195"/>
      <c r="I40" s="195"/>
      <c r="J40" s="196">
        <f>SUM(J37:J39)</f>
        <v>178309</v>
      </c>
      <c r="K40" s="196">
        <f>SUM(K37:K39)</f>
        <v>0</v>
      </c>
      <c r="L40" s="196"/>
      <c r="M40" s="196">
        <f t="shared" ref="M40:R40" si="9">SUM(M37:M39)</f>
        <v>2420000</v>
      </c>
      <c r="N40" s="196">
        <f t="shared" si="9"/>
        <v>1130000</v>
      </c>
      <c r="O40" s="196">
        <f t="shared" si="9"/>
        <v>1096000</v>
      </c>
      <c r="P40" s="196">
        <f t="shared" si="9"/>
        <v>1444000</v>
      </c>
      <c r="Q40" s="277">
        <f t="shared" si="9"/>
        <v>710000</v>
      </c>
      <c r="R40" s="153">
        <f t="shared" si="9"/>
        <v>0</v>
      </c>
      <c r="S40" s="153">
        <f>SUM(S37:S39)</f>
        <v>0</v>
      </c>
      <c r="T40" s="153">
        <f t="shared" ref="T40:W40" si="10">SUM(T37:T39)</f>
        <v>0</v>
      </c>
      <c r="U40" s="153">
        <f t="shared" si="10"/>
        <v>0</v>
      </c>
      <c r="V40" s="153">
        <f t="shared" si="10"/>
        <v>0</v>
      </c>
      <c r="W40" s="153">
        <f t="shared" si="10"/>
        <v>0</v>
      </c>
      <c r="Z40" s="196">
        <f>SUM(M40:Q40)</f>
        <v>6800000</v>
      </c>
    </row>
    <row r="41" spans="1:26" hidden="1">
      <c r="L41" s="147" t="b">
        <f t="shared" ref="L41:W41" si="11">L40=SUM(L$15:L$35)</f>
        <v>1</v>
      </c>
      <c r="M41" s="147" t="b">
        <f t="shared" si="11"/>
        <v>0</v>
      </c>
      <c r="N41" s="147" t="b">
        <f t="shared" si="11"/>
        <v>0</v>
      </c>
      <c r="O41" s="147" t="b">
        <f t="shared" si="11"/>
        <v>0</v>
      </c>
      <c r="P41" s="147" t="b">
        <f t="shared" si="11"/>
        <v>0</v>
      </c>
      <c r="Q41" s="147" t="b">
        <f t="shared" si="11"/>
        <v>0</v>
      </c>
      <c r="R41" s="147" t="b">
        <f t="shared" si="11"/>
        <v>1</v>
      </c>
      <c r="S41" s="147" t="b">
        <f t="shared" si="11"/>
        <v>1</v>
      </c>
      <c r="T41" s="147" t="b">
        <f t="shared" si="11"/>
        <v>1</v>
      </c>
      <c r="U41" s="147" t="b">
        <f t="shared" si="11"/>
        <v>1</v>
      </c>
      <c r="V41" s="147" t="b">
        <f t="shared" si="11"/>
        <v>1</v>
      </c>
      <c r="W41" s="147" t="b">
        <f t="shared" si="11"/>
        <v>1</v>
      </c>
    </row>
    <row r="43" spans="1:26">
      <c r="C43" s="155" t="s">
        <v>492</v>
      </c>
      <c r="D43" s="155"/>
      <c r="E43" s="155"/>
      <c r="F43" s="155"/>
      <c r="G43" s="155"/>
      <c r="H43" s="155"/>
      <c r="I43" s="155"/>
      <c r="J43" s="155"/>
      <c r="K43" s="155"/>
      <c r="L43" s="171">
        <f>L8</f>
        <v>0</v>
      </c>
    </row>
    <row r="45" spans="1:26">
      <c r="C45" s="147" t="s">
        <v>493</v>
      </c>
      <c r="L45" s="247">
        <v>3500597</v>
      </c>
      <c r="M45" s="147" t="s">
        <v>114</v>
      </c>
    </row>
    <row r="46" spans="1:26">
      <c r="C46" s="147" t="str">
        <f>"Contributions for FY "&amp;MASTER!$B$4&amp;" - "&amp;MASTER!$B$5&amp;":"</f>
        <v>Contributions for FY 2021 - 2022:</v>
      </c>
      <c r="L46" s="151">
        <f>'Operating Budget'!I123</f>
        <v>181400</v>
      </c>
    </row>
    <row r="47" spans="1:26">
      <c r="C47" s="147" t="s">
        <v>494</v>
      </c>
      <c r="L47" s="151">
        <f>-M37</f>
        <v>-1167500</v>
      </c>
    </row>
    <row r="48" spans="1:26">
      <c r="C48" s="152" t="s">
        <v>495</v>
      </c>
      <c r="D48" s="152"/>
      <c r="E48" s="152"/>
      <c r="F48" s="152"/>
      <c r="G48" s="152"/>
      <c r="H48" s="152"/>
      <c r="I48" s="152"/>
      <c r="J48" s="152"/>
      <c r="K48" s="152"/>
      <c r="L48" s="153">
        <f>SUM(L45:L47)</f>
        <v>2514497</v>
      </c>
    </row>
    <row r="50" spans="3:14">
      <c r="C50" s="249" t="s">
        <v>496</v>
      </c>
      <c r="L50" s="151">
        <v>1013249</v>
      </c>
    </row>
    <row r="53" spans="3:14">
      <c r="C53" s="155" t="s">
        <v>497</v>
      </c>
      <c r="D53" s="155"/>
      <c r="E53" s="155"/>
      <c r="F53" s="155"/>
      <c r="G53" s="155"/>
      <c r="H53" s="155"/>
      <c r="I53" s="155"/>
      <c r="J53" s="155"/>
      <c r="K53" s="155"/>
      <c r="L53" s="171">
        <f>L8</f>
        <v>0</v>
      </c>
      <c r="N53" s="248"/>
    </row>
    <row r="55" spans="3:14">
      <c r="C55" s="147" t="s">
        <v>493</v>
      </c>
      <c r="L55" s="247">
        <v>3520856</v>
      </c>
      <c r="M55" s="147" t="s">
        <v>114</v>
      </c>
    </row>
    <row r="56" spans="3:14">
      <c r="C56" s="147" t="str">
        <f>"Contributions for FY "&amp;MASTER!$B$4&amp;" - "&amp;MASTER!$B$5&amp;":"</f>
        <v>Contributions for FY 2021 - 2022:</v>
      </c>
      <c r="L56" s="151">
        <f>'Operating Budget'!K126</f>
        <v>523937</v>
      </c>
    </row>
    <row r="57" spans="3:14">
      <c r="C57" s="147" t="s">
        <v>494</v>
      </c>
      <c r="L57" s="151">
        <f>-M38</f>
        <v>-1102500</v>
      </c>
    </row>
    <row r="58" spans="3:14">
      <c r="C58" s="152" t="s">
        <v>495</v>
      </c>
      <c r="D58" s="152"/>
      <c r="E58" s="152"/>
      <c r="F58" s="152"/>
      <c r="G58" s="152"/>
      <c r="H58" s="152"/>
      <c r="I58" s="152"/>
      <c r="J58" s="152"/>
      <c r="K58" s="152"/>
      <c r="L58" s="153">
        <f>SUM(L55:L57)</f>
        <v>2942293</v>
      </c>
    </row>
    <row r="60" spans="3:14">
      <c r="C60" s="147" t="s">
        <v>496</v>
      </c>
      <c r="L60" s="151">
        <f>980037*1.07</f>
        <v>1048639.5900000001</v>
      </c>
    </row>
  </sheetData>
  <mergeCells count="2">
    <mergeCell ref="B5:P5"/>
    <mergeCell ref="C2:C3"/>
  </mergeCells>
  <pageMargins left="0.7" right="0.7" top="0.75" bottom="0.75" header="0.3" footer="0.3"/>
  <pageSetup scale="59"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9934A-2051-4597-8D0C-38DAFDF006AD}">
  <dimension ref="A1"/>
  <sheetViews>
    <sheetView workbookViewId="0"/>
  </sheetViews>
  <sheetFormatPr defaultRowHeight="12.75"/>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2:IU138"/>
  <sheetViews>
    <sheetView tabSelected="1" zoomScale="90" zoomScaleNormal="90" workbookViewId="0">
      <pane ySplit="7" topLeftCell="A8" activePane="bottomLeft" state="frozen"/>
      <selection pane="bottomLeft" activeCell="C2" sqref="C2"/>
    </sheetView>
  </sheetViews>
  <sheetFormatPr defaultColWidth="9.140625" defaultRowHeight="14.1" customHeight="1"/>
  <cols>
    <col min="1" max="1" width="9" style="91" customWidth="1"/>
    <col min="2" max="2" width="29.7109375" style="91" customWidth="1"/>
    <col min="3" max="3" width="11.140625" style="87" customWidth="1"/>
    <col min="4" max="7" width="13.7109375" style="93" customWidth="1"/>
    <col min="8" max="8" width="11" style="105" customWidth="1"/>
    <col min="9" max="9" width="13.7109375" style="93" customWidth="1"/>
    <col min="10" max="10" width="8.42578125" style="105" customWidth="1"/>
    <col min="11" max="11" width="13.7109375" style="93" customWidth="1"/>
    <col min="12" max="12" width="8.42578125" style="105" customWidth="1"/>
    <col min="13" max="13" width="13.7109375" style="93" customWidth="1"/>
    <col min="14" max="14" width="8" style="105" customWidth="1"/>
    <col min="15" max="15" width="13.7109375" style="93" customWidth="1"/>
    <col min="16" max="16" width="7.42578125" style="105" customWidth="1"/>
    <col min="17" max="17" width="13.7109375" style="93" customWidth="1"/>
    <col min="18" max="16384" width="9.140625" style="91"/>
  </cols>
  <sheetData>
    <row r="2" spans="1:255" ht="18" customHeight="1">
      <c r="A2" s="157"/>
      <c r="B2" s="325" t="s">
        <v>12</v>
      </c>
      <c r="F2" s="143"/>
      <c r="G2" s="158" t="str">
        <f>"FY "&amp;MASTER!$B$4&amp;" - "&amp;MASTER!$B$5&amp;" OPERATING BUDGET"</f>
        <v>FY 2021 - 2022 OPERATING BUDGET</v>
      </c>
      <c r="H2" s="159"/>
      <c r="I2" s="143"/>
      <c r="J2" s="145"/>
      <c r="K2" s="143"/>
    </row>
    <row r="3" spans="1:255" ht="14.1" customHeight="1">
      <c r="B3" s="325"/>
    </row>
    <row r="5" spans="1:255" ht="14.1" hidden="1" customHeight="1">
      <c r="B5" s="92"/>
      <c r="C5" s="94"/>
      <c r="D5" s="122" t="s">
        <v>498</v>
      </c>
      <c r="E5" s="122" t="s">
        <v>499</v>
      </c>
      <c r="F5" s="122" t="s">
        <v>500</v>
      </c>
      <c r="G5" s="123" t="s">
        <v>501</v>
      </c>
      <c r="H5" s="96"/>
      <c r="I5" s="95"/>
      <c r="J5" s="123" t="s">
        <v>502</v>
      </c>
      <c r="K5" s="95"/>
      <c r="L5" s="123" t="s">
        <v>503</v>
      </c>
      <c r="M5" s="95"/>
      <c r="N5" s="123" t="s">
        <v>504</v>
      </c>
      <c r="O5" s="95"/>
      <c r="P5" s="123" t="s">
        <v>505</v>
      </c>
      <c r="Q5" s="95"/>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92"/>
      <c r="FE5" s="92"/>
      <c r="FF5" s="92"/>
      <c r="FG5" s="92"/>
      <c r="FH5" s="92"/>
      <c r="FI5" s="92"/>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92"/>
      <c r="HG5" s="92"/>
      <c r="HH5" s="92"/>
      <c r="HI5" s="92"/>
      <c r="HJ5" s="92"/>
      <c r="HK5" s="92"/>
      <c r="HL5" s="92"/>
      <c r="HM5" s="92"/>
      <c r="HN5" s="92"/>
      <c r="HO5" s="92"/>
      <c r="HP5" s="92"/>
      <c r="HQ5" s="92"/>
      <c r="HR5" s="92"/>
      <c r="HS5" s="92"/>
      <c r="HT5" s="92"/>
      <c r="HU5" s="92"/>
      <c r="HV5" s="92"/>
      <c r="HW5" s="92"/>
      <c r="HX5" s="92"/>
      <c r="HY5" s="92"/>
      <c r="HZ5" s="92"/>
      <c r="IA5" s="92"/>
      <c r="IB5" s="92"/>
      <c r="IC5" s="92"/>
      <c r="ID5" s="92"/>
      <c r="IE5" s="92"/>
      <c r="IF5" s="92"/>
      <c r="IG5" s="92"/>
      <c r="IH5" s="92"/>
      <c r="II5" s="92"/>
      <c r="IJ5" s="92"/>
      <c r="IK5" s="92"/>
      <c r="IL5" s="92"/>
      <c r="IM5" s="92"/>
      <c r="IN5" s="92"/>
      <c r="IO5" s="92"/>
      <c r="IP5" s="92"/>
      <c r="IQ5" s="92"/>
      <c r="IR5" s="92"/>
      <c r="IS5" s="92"/>
      <c r="IT5" s="92"/>
      <c r="IU5" s="92"/>
    </row>
    <row r="6" spans="1:255" ht="14.1" customHeight="1">
      <c r="B6" s="92"/>
      <c r="C6" s="94"/>
      <c r="D6" s="311" t="s">
        <v>12</v>
      </c>
      <c r="E6" s="311" t="s">
        <v>13</v>
      </c>
      <c r="F6" s="311" t="s">
        <v>14</v>
      </c>
      <c r="G6" s="311" t="s">
        <v>15</v>
      </c>
      <c r="H6" s="311" t="s">
        <v>506</v>
      </c>
      <c r="I6" s="324" t="s">
        <v>492</v>
      </c>
      <c r="J6" s="324"/>
      <c r="K6" s="324" t="s">
        <v>497</v>
      </c>
      <c r="L6" s="324"/>
      <c r="M6" s="324" t="s">
        <v>507</v>
      </c>
      <c r="N6" s="324"/>
      <c r="O6" s="324" t="s">
        <v>508</v>
      </c>
      <c r="P6" s="324"/>
      <c r="Q6" s="311"/>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c r="IE6" s="92"/>
      <c r="IF6" s="92"/>
      <c r="IG6" s="92"/>
      <c r="IH6" s="92"/>
      <c r="II6" s="92"/>
      <c r="IJ6" s="92"/>
      <c r="IK6" s="92"/>
      <c r="IL6" s="92"/>
      <c r="IM6" s="92"/>
      <c r="IN6" s="92"/>
      <c r="IO6" s="92"/>
      <c r="IP6" s="92"/>
      <c r="IQ6" s="92"/>
      <c r="IR6" s="92"/>
      <c r="IS6" s="92"/>
      <c r="IT6" s="92"/>
      <c r="IU6" s="92"/>
    </row>
    <row r="7" spans="1:255" ht="12">
      <c r="A7" s="311" t="s">
        <v>509</v>
      </c>
      <c r="B7" s="311"/>
      <c r="C7" s="311" t="s">
        <v>510</v>
      </c>
      <c r="D7" s="311" t="str">
        <f>"FY "&amp;MASTER!$B$4-1&amp;" - "&amp;MASTER!$B$4</f>
        <v>FY 2020 - 2021</v>
      </c>
      <c r="E7" s="86">
        <f>MASTER!$B$6</f>
        <v>44255</v>
      </c>
      <c r="F7" s="311" t="str">
        <f>"June "&amp;MASTER!$B$4</f>
        <v>June 2021</v>
      </c>
      <c r="G7" s="311" t="str">
        <f>"FY "&amp;MASTER!$B$4&amp;" - "&amp;MASTER!$B$5</f>
        <v>FY 2021 - 2022</v>
      </c>
      <c r="H7" s="311" t="s">
        <v>437</v>
      </c>
      <c r="I7" s="311" t="s">
        <v>511</v>
      </c>
      <c r="J7" s="311" t="s">
        <v>512</v>
      </c>
      <c r="K7" s="311" t="s">
        <v>511</v>
      </c>
      <c r="L7" s="311" t="s">
        <v>512</v>
      </c>
      <c r="M7" s="311" t="s">
        <v>511</v>
      </c>
      <c r="N7" s="311" t="s">
        <v>512</v>
      </c>
      <c r="O7" s="311" t="s">
        <v>511</v>
      </c>
      <c r="P7" s="311" t="s">
        <v>512</v>
      </c>
      <c r="Q7" s="311" t="s">
        <v>10</v>
      </c>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c r="IR7" s="92"/>
      <c r="IS7" s="92"/>
      <c r="IT7" s="92"/>
      <c r="IU7" s="92"/>
    </row>
    <row r="8" spans="1:255" ht="14.1" customHeight="1">
      <c r="I8" s="108"/>
      <c r="K8" s="108"/>
      <c r="M8" s="108"/>
      <c r="O8" s="108"/>
      <c r="Q8" s="108"/>
    </row>
    <row r="9" spans="1:255" ht="14.1" customHeight="1">
      <c r="B9" s="89" t="s">
        <v>513</v>
      </c>
      <c r="C9" s="87" t="s">
        <v>514</v>
      </c>
      <c r="F9" s="97"/>
      <c r="I9" s="116"/>
      <c r="K9" s="116"/>
      <c r="M9" s="116"/>
      <c r="O9" s="108"/>
      <c r="Q9" s="108"/>
    </row>
    <row r="10" spans="1:255" ht="14.1" customHeight="1">
      <c r="I10" s="108"/>
      <c r="K10" s="108"/>
      <c r="M10" s="108"/>
      <c r="O10" s="108"/>
      <c r="Q10" s="108"/>
    </row>
    <row r="11" spans="1:255" ht="14.1" customHeight="1">
      <c r="B11" s="98" t="s">
        <v>515</v>
      </c>
      <c r="I11" s="108"/>
      <c r="K11" s="108"/>
      <c r="M11" s="108"/>
      <c r="O11" s="108"/>
      <c r="Q11" s="108"/>
    </row>
    <row r="12" spans="1:255" ht="14.1" customHeight="1">
      <c r="A12" s="88">
        <v>1</v>
      </c>
      <c r="B12" s="99" t="s">
        <v>516</v>
      </c>
      <c r="C12" s="88">
        <v>3110</v>
      </c>
      <c r="D12" s="107">
        <v>2264000</v>
      </c>
      <c r="E12" s="93">
        <v>1317480</v>
      </c>
      <c r="F12" s="93">
        <v>2258540</v>
      </c>
      <c r="G12" s="112">
        <f>'1'!H32</f>
        <v>2332000</v>
      </c>
      <c r="H12" s="105">
        <f>F12/D12</f>
        <v>0.99758833922261481</v>
      </c>
      <c r="I12" s="108">
        <f>G12*J12</f>
        <v>2332000</v>
      </c>
      <c r="J12" s="105">
        <v>1</v>
      </c>
      <c r="K12" s="108">
        <f>G12*L12</f>
        <v>0</v>
      </c>
      <c r="L12" s="105">
        <v>0</v>
      </c>
      <c r="M12" s="108">
        <f>G12*N12</f>
        <v>0</v>
      </c>
      <c r="N12" s="105">
        <v>0</v>
      </c>
      <c r="O12" s="108">
        <f>G12*P12</f>
        <v>0</v>
      </c>
      <c r="P12" s="105">
        <v>0</v>
      </c>
      <c r="Q12" s="108">
        <f>I12+K12+M12+O12</f>
        <v>2332000</v>
      </c>
    </row>
    <row r="13" spans="1:255" ht="14.1" customHeight="1">
      <c r="A13" s="132">
        <f>A12+1</f>
        <v>2</v>
      </c>
      <c r="B13" s="133" t="s">
        <v>517</v>
      </c>
      <c r="C13" s="132">
        <v>3120</v>
      </c>
      <c r="D13" s="134">
        <v>2400000</v>
      </c>
      <c r="E13" s="109">
        <v>1421992</v>
      </c>
      <c r="F13" s="109">
        <v>2337700</v>
      </c>
      <c r="G13" s="110">
        <f>'2'!H36</f>
        <v>2470000</v>
      </c>
      <c r="H13" s="114">
        <f>F13/D13</f>
        <v>0.97404166666666669</v>
      </c>
      <c r="I13" s="135">
        <f>G13*J13</f>
        <v>0</v>
      </c>
      <c r="J13" s="114">
        <v>0</v>
      </c>
      <c r="K13" s="135">
        <f>G13*L13</f>
        <v>2470000</v>
      </c>
      <c r="L13" s="114">
        <v>1</v>
      </c>
      <c r="M13" s="135">
        <f>G13*N13</f>
        <v>0</v>
      </c>
      <c r="N13" s="114">
        <v>0</v>
      </c>
      <c r="O13" s="135">
        <f>G13*P13</f>
        <v>0</v>
      </c>
      <c r="P13" s="114">
        <v>0</v>
      </c>
      <c r="Q13" s="135">
        <f>I13+K13+M13+O13</f>
        <v>2470000</v>
      </c>
    </row>
    <row r="14" spans="1:255" ht="14.1" customHeight="1">
      <c r="A14" s="88">
        <f>A13+1</f>
        <v>3</v>
      </c>
      <c r="B14" s="99" t="s">
        <v>518</v>
      </c>
      <c r="C14" s="88">
        <v>3130</v>
      </c>
      <c r="D14" s="107">
        <v>750000</v>
      </c>
      <c r="E14" s="93">
        <f>'3'!F32</f>
        <v>569130</v>
      </c>
      <c r="F14" s="93">
        <f>'3'!G32</f>
        <v>749275</v>
      </c>
      <c r="G14" s="112">
        <f>'3'!H32</f>
        <v>769000</v>
      </c>
      <c r="H14" s="105">
        <f>F14/D14</f>
        <v>0.99903333333333333</v>
      </c>
      <c r="I14" s="108">
        <f>G14*J14</f>
        <v>0</v>
      </c>
      <c r="J14" s="105">
        <v>0</v>
      </c>
      <c r="K14" s="108">
        <f>G14*L14</f>
        <v>0</v>
      </c>
      <c r="L14" s="105">
        <v>0</v>
      </c>
      <c r="M14" s="108">
        <f>G14*N14</f>
        <v>769000</v>
      </c>
      <c r="N14" s="105">
        <v>1</v>
      </c>
      <c r="O14" s="108">
        <f>G14*P14</f>
        <v>0</v>
      </c>
      <c r="P14" s="105">
        <v>0</v>
      </c>
      <c r="Q14" s="108">
        <f>I14+K14+M14+O14</f>
        <v>769000</v>
      </c>
    </row>
    <row r="15" spans="1:255" ht="14.1" customHeight="1" thickBot="1">
      <c r="A15" s="104"/>
      <c r="B15" s="106" t="str">
        <f>"Total "&amp;B11</f>
        <v>Total Rate Revenues</v>
      </c>
      <c r="C15" s="90"/>
      <c r="D15" s="101">
        <f>SUM(D12:D14)</f>
        <v>5414000</v>
      </c>
      <c r="E15" s="101"/>
      <c r="F15" s="101">
        <f>SUM(F12:F14)</f>
        <v>5345515</v>
      </c>
      <c r="G15" s="113">
        <f>SUM(G12:G14)</f>
        <v>5571000</v>
      </c>
      <c r="H15" s="111">
        <f t="shared" ref="H15" si="0">F15/D15</f>
        <v>0.98735038788326557</v>
      </c>
      <c r="I15" s="117">
        <f>SUM(I12:I14)</f>
        <v>2332000</v>
      </c>
      <c r="J15" s="115"/>
      <c r="K15" s="117">
        <f>SUM(K12:K14)</f>
        <v>2470000</v>
      </c>
      <c r="L15" s="119"/>
      <c r="M15" s="117">
        <f>SUM(M12:M14)</f>
        <v>769000</v>
      </c>
      <c r="N15" s="119"/>
      <c r="O15" s="117">
        <f>SUM(O12:O14)</f>
        <v>0</v>
      </c>
      <c r="P15" s="119"/>
      <c r="Q15" s="117">
        <f>SUM(Q12:Q14)</f>
        <v>5571000</v>
      </c>
    </row>
    <row r="16" spans="1:255" ht="14.1" customHeight="1" thickTop="1">
      <c r="A16" s="104"/>
      <c r="B16" s="91" t="s">
        <v>514</v>
      </c>
      <c r="C16" s="88"/>
      <c r="I16" s="108"/>
      <c r="K16" s="108"/>
      <c r="M16" s="108"/>
      <c r="O16" s="108"/>
      <c r="Q16" s="108"/>
    </row>
    <row r="17" spans="1:17" ht="14.1" customHeight="1">
      <c r="A17" s="104"/>
      <c r="B17" s="91" t="s">
        <v>514</v>
      </c>
      <c r="C17" s="88"/>
      <c r="I17" s="108"/>
      <c r="K17" s="108"/>
      <c r="M17" s="108"/>
      <c r="O17" s="108"/>
      <c r="Q17" s="108"/>
    </row>
    <row r="18" spans="1:17" ht="14.1" customHeight="1">
      <c r="A18" s="104"/>
      <c r="B18" s="89" t="s">
        <v>519</v>
      </c>
      <c r="C18" s="88"/>
      <c r="I18" s="108"/>
      <c r="K18" s="108"/>
      <c r="M18" s="108"/>
      <c r="O18" s="108"/>
      <c r="Q18" s="108"/>
    </row>
    <row r="19" spans="1:17" ht="14.1" customHeight="1">
      <c r="A19" s="104"/>
      <c r="B19" s="91" t="s">
        <v>514</v>
      </c>
      <c r="C19" s="88"/>
      <c r="I19" s="108"/>
      <c r="K19" s="108"/>
      <c r="M19" s="108"/>
      <c r="O19" s="108"/>
      <c r="Q19" s="108"/>
    </row>
    <row r="20" spans="1:17" ht="14.1" customHeight="1">
      <c r="A20" s="104"/>
      <c r="B20" s="98" t="s">
        <v>520</v>
      </c>
      <c r="C20" s="88"/>
      <c r="I20" s="108"/>
      <c r="K20" s="108"/>
      <c r="M20" s="108"/>
      <c r="O20" s="108"/>
      <c r="Q20" s="108"/>
    </row>
    <row r="21" spans="1:17" ht="14.1" customHeight="1">
      <c r="A21" s="132">
        <f>A14+1</f>
        <v>4</v>
      </c>
      <c r="B21" s="133" t="s">
        <v>521</v>
      </c>
      <c r="C21" s="132">
        <v>4210</v>
      </c>
      <c r="D21" s="109">
        <f ca="1">INDIRECT("'"&amp;$A21&amp;"'!"&amp;D$5)</f>
        <v>900000</v>
      </c>
      <c r="E21" s="109">
        <f t="shared" ref="E21:G21" ca="1" si="1">INDIRECT("'"&amp;$A21&amp;"'!"&amp;E$5)</f>
        <v>491504</v>
      </c>
      <c r="F21" s="109">
        <f t="shared" ca="1" si="1"/>
        <v>744400</v>
      </c>
      <c r="G21" s="110">
        <f t="shared" ca="1" si="1"/>
        <v>1000000</v>
      </c>
      <c r="H21" s="114">
        <f t="shared" ref="H21:H27" ca="1" si="2">F21/D21</f>
        <v>0.82711111111111113</v>
      </c>
      <c r="I21" s="135">
        <f t="shared" ref="I21:I27" ca="1" si="3">G21*J21</f>
        <v>1000000</v>
      </c>
      <c r="J21" s="114">
        <f ca="1">INDIRECT("'"&amp;$A21&amp;"'!"&amp;J$5)</f>
        <v>1</v>
      </c>
      <c r="K21" s="135">
        <f t="shared" ref="K21:K27" ca="1" si="4">G21*L21</f>
        <v>0</v>
      </c>
      <c r="L21" s="114">
        <f ca="1">INDIRECT("'"&amp;$A21&amp;"'!"&amp;L$5)</f>
        <v>0</v>
      </c>
      <c r="M21" s="135">
        <f t="shared" ref="M21:M27" ca="1" si="5">G21*N21</f>
        <v>0</v>
      </c>
      <c r="N21" s="114">
        <f ca="1">INDIRECT("'"&amp;$A21&amp;"'!"&amp;N$5)</f>
        <v>0</v>
      </c>
      <c r="O21" s="135">
        <f t="shared" ref="O21:O27" ca="1" si="6">G21*P21</f>
        <v>0</v>
      </c>
      <c r="P21" s="114">
        <f ca="1">INDIRECT("'"&amp;$A21&amp;"'!"&amp;P$5)</f>
        <v>0</v>
      </c>
      <c r="Q21" s="135">
        <f t="shared" ref="Q21:Q27" ca="1" si="7">I21+K21+M21+O21</f>
        <v>1000000</v>
      </c>
    </row>
    <row r="22" spans="1:17" ht="14.1" customHeight="1">
      <c r="A22" s="88">
        <f>A21+1</f>
        <v>5</v>
      </c>
      <c r="B22" s="99" t="s">
        <v>522</v>
      </c>
      <c r="C22" s="88">
        <v>4215</v>
      </c>
      <c r="D22" s="93">
        <f>'5'!E36</f>
        <v>15000</v>
      </c>
      <c r="E22" s="93">
        <f>'5'!F36</f>
        <v>7231</v>
      </c>
      <c r="F22" s="93">
        <f>'5'!G36</f>
        <v>14000</v>
      </c>
      <c r="G22" s="112">
        <f>'5'!H36</f>
        <v>15000</v>
      </c>
      <c r="H22" s="105">
        <f t="shared" si="2"/>
        <v>0.93333333333333335</v>
      </c>
      <c r="I22" s="108">
        <f t="shared" ca="1" si="3"/>
        <v>15000</v>
      </c>
      <c r="J22" s="105">
        <f t="shared" ref="J22:J27" ca="1" si="8">INDIRECT("'"&amp;$A22&amp;"'!"&amp;J$5)</f>
        <v>1</v>
      </c>
      <c r="K22" s="108">
        <f t="shared" ca="1" si="4"/>
        <v>0</v>
      </c>
      <c r="L22" s="105">
        <f t="shared" ref="L22:L27" ca="1" si="9">INDIRECT("'"&amp;$A22&amp;"'!"&amp;L$5)</f>
        <v>0</v>
      </c>
      <c r="M22" s="108">
        <f t="shared" ca="1" si="5"/>
        <v>0</v>
      </c>
      <c r="N22" s="105">
        <f t="shared" ref="N22:N27" ca="1" si="10">INDIRECT("'"&amp;$A22&amp;"'!"&amp;N$5)</f>
        <v>0</v>
      </c>
      <c r="O22" s="108">
        <f t="shared" ca="1" si="6"/>
        <v>0</v>
      </c>
      <c r="P22" s="105">
        <f t="shared" ref="P22:P27" ca="1" si="11">INDIRECT("'"&amp;$A22&amp;"'!"&amp;P$5)</f>
        <v>0</v>
      </c>
      <c r="Q22" s="108">
        <f t="shared" ca="1" si="7"/>
        <v>15000</v>
      </c>
    </row>
    <row r="23" spans="1:17" ht="14.1" customHeight="1">
      <c r="A23" s="132">
        <f t="shared" ref="A23:A27" si="12">A22+1</f>
        <v>6</v>
      </c>
      <c r="B23" s="133" t="s">
        <v>523</v>
      </c>
      <c r="C23" s="132">
        <v>4220</v>
      </c>
      <c r="D23" s="109">
        <f>'6'!E33</f>
        <v>14000</v>
      </c>
      <c r="E23" s="109">
        <f>'6'!F33</f>
        <v>13464</v>
      </c>
      <c r="F23" s="109">
        <f>'6'!G33</f>
        <v>14000</v>
      </c>
      <c r="G23" s="110">
        <f>'6'!H33</f>
        <v>16000</v>
      </c>
      <c r="H23" s="114">
        <f t="shared" si="2"/>
        <v>1</v>
      </c>
      <c r="I23" s="135">
        <f t="shared" ca="1" si="3"/>
        <v>16000</v>
      </c>
      <c r="J23" s="114">
        <f t="shared" ca="1" si="8"/>
        <v>1</v>
      </c>
      <c r="K23" s="135">
        <f t="shared" ca="1" si="4"/>
        <v>0</v>
      </c>
      <c r="L23" s="114">
        <f t="shared" ca="1" si="9"/>
        <v>0</v>
      </c>
      <c r="M23" s="135">
        <f t="shared" ca="1" si="5"/>
        <v>0</v>
      </c>
      <c r="N23" s="114">
        <f t="shared" ca="1" si="10"/>
        <v>0</v>
      </c>
      <c r="O23" s="135">
        <f t="shared" ca="1" si="6"/>
        <v>0</v>
      </c>
      <c r="P23" s="114">
        <f t="shared" ca="1" si="11"/>
        <v>0</v>
      </c>
      <c r="Q23" s="135">
        <f t="shared" ca="1" si="7"/>
        <v>16000</v>
      </c>
    </row>
    <row r="24" spans="1:17" ht="14.1" customHeight="1">
      <c r="A24" s="88">
        <f t="shared" si="12"/>
        <v>7</v>
      </c>
      <c r="B24" s="99" t="s">
        <v>524</v>
      </c>
      <c r="C24" s="88">
        <v>4225</v>
      </c>
      <c r="D24" s="93">
        <f>'7'!E32</f>
        <v>4000</v>
      </c>
      <c r="E24" s="93">
        <f>'7'!F32</f>
        <v>0</v>
      </c>
      <c r="F24" s="93">
        <f>'7'!G32</f>
        <v>4000</v>
      </c>
      <c r="G24" s="112">
        <f>'7'!H32</f>
        <v>4000</v>
      </c>
      <c r="H24" s="105">
        <f t="shared" si="2"/>
        <v>1</v>
      </c>
      <c r="I24" s="108">
        <f t="shared" ca="1" si="3"/>
        <v>4000</v>
      </c>
      <c r="J24" s="105">
        <f t="shared" ca="1" si="8"/>
        <v>1</v>
      </c>
      <c r="K24" s="108">
        <f t="shared" ca="1" si="4"/>
        <v>0</v>
      </c>
      <c r="L24" s="105">
        <f t="shared" ca="1" si="9"/>
        <v>0</v>
      </c>
      <c r="M24" s="108">
        <f t="shared" ca="1" si="5"/>
        <v>0</v>
      </c>
      <c r="N24" s="105">
        <f t="shared" ca="1" si="10"/>
        <v>0</v>
      </c>
      <c r="O24" s="108">
        <f t="shared" ca="1" si="6"/>
        <v>0</v>
      </c>
      <c r="P24" s="105">
        <f t="shared" ca="1" si="11"/>
        <v>0</v>
      </c>
      <c r="Q24" s="108">
        <f t="shared" ca="1" si="7"/>
        <v>4000</v>
      </c>
    </row>
    <row r="25" spans="1:17" ht="14.1" customHeight="1">
      <c r="A25" s="132">
        <f t="shared" si="12"/>
        <v>8</v>
      </c>
      <c r="B25" s="133" t="s">
        <v>525</v>
      </c>
      <c r="C25" s="132">
        <v>4230</v>
      </c>
      <c r="D25" s="109">
        <f>'8'!E34</f>
        <v>2000</v>
      </c>
      <c r="E25" s="109">
        <f>'8'!F34</f>
        <v>1420</v>
      </c>
      <c r="F25" s="109">
        <f>'8'!G34</f>
        <v>2020</v>
      </c>
      <c r="G25" s="110">
        <f>'8'!H34</f>
        <v>2600</v>
      </c>
      <c r="H25" s="114">
        <f t="shared" si="2"/>
        <v>1.01</v>
      </c>
      <c r="I25" s="135">
        <f t="shared" ca="1" si="3"/>
        <v>2600</v>
      </c>
      <c r="J25" s="114">
        <f t="shared" ca="1" si="8"/>
        <v>1</v>
      </c>
      <c r="K25" s="135">
        <f t="shared" ca="1" si="4"/>
        <v>0</v>
      </c>
      <c r="L25" s="114">
        <f t="shared" ca="1" si="9"/>
        <v>0</v>
      </c>
      <c r="M25" s="135">
        <f t="shared" ca="1" si="5"/>
        <v>0</v>
      </c>
      <c r="N25" s="114">
        <f t="shared" ca="1" si="10"/>
        <v>0</v>
      </c>
      <c r="O25" s="135">
        <f t="shared" ca="1" si="6"/>
        <v>0</v>
      </c>
      <c r="P25" s="114">
        <f t="shared" ca="1" si="11"/>
        <v>0</v>
      </c>
      <c r="Q25" s="135">
        <f t="shared" ca="1" si="7"/>
        <v>2600</v>
      </c>
    </row>
    <row r="26" spans="1:17" ht="14.1" customHeight="1">
      <c r="A26" s="88">
        <f t="shared" si="12"/>
        <v>9</v>
      </c>
      <c r="B26" s="99" t="s">
        <v>526</v>
      </c>
      <c r="C26" s="88">
        <v>4235</v>
      </c>
      <c r="D26" s="93">
        <f>'9'!E48</f>
        <v>130000</v>
      </c>
      <c r="E26" s="93">
        <f>'9'!F48</f>
        <v>26542</v>
      </c>
      <c r="F26" s="93">
        <f>'9'!G48</f>
        <v>130000</v>
      </c>
      <c r="G26" s="112">
        <f>'9'!H48</f>
        <v>130000</v>
      </c>
      <c r="H26" s="105">
        <f t="shared" si="2"/>
        <v>1</v>
      </c>
      <c r="I26" s="108">
        <f t="shared" ca="1" si="3"/>
        <v>130000</v>
      </c>
      <c r="J26" s="105">
        <f t="shared" ca="1" si="8"/>
        <v>1</v>
      </c>
      <c r="K26" s="108">
        <f t="shared" ca="1" si="4"/>
        <v>0</v>
      </c>
      <c r="L26" s="105">
        <f t="shared" ca="1" si="9"/>
        <v>0</v>
      </c>
      <c r="M26" s="108">
        <f t="shared" ca="1" si="5"/>
        <v>0</v>
      </c>
      <c r="N26" s="105">
        <f t="shared" ca="1" si="10"/>
        <v>0</v>
      </c>
      <c r="O26" s="108">
        <f t="shared" ca="1" si="6"/>
        <v>0</v>
      </c>
      <c r="P26" s="105">
        <f t="shared" ca="1" si="11"/>
        <v>0</v>
      </c>
      <c r="Q26" s="108">
        <f t="shared" ca="1" si="7"/>
        <v>130000</v>
      </c>
    </row>
    <row r="27" spans="1:17" ht="14.1" customHeight="1">
      <c r="A27" s="132">
        <f t="shared" si="12"/>
        <v>10</v>
      </c>
      <c r="B27" s="133" t="s">
        <v>346</v>
      </c>
      <c r="C27" s="132">
        <v>4240</v>
      </c>
      <c r="D27" s="109">
        <f>'10'!E34</f>
        <v>10600</v>
      </c>
      <c r="E27" s="109">
        <v>7360</v>
      </c>
      <c r="F27" s="109">
        <f>'10'!G34</f>
        <v>11000</v>
      </c>
      <c r="G27" s="110">
        <f>'10'!H34</f>
        <v>11000</v>
      </c>
      <c r="H27" s="114">
        <f t="shared" si="2"/>
        <v>1.0377358490566038</v>
      </c>
      <c r="I27" s="135">
        <f t="shared" ca="1" si="3"/>
        <v>11000</v>
      </c>
      <c r="J27" s="114">
        <f t="shared" ca="1" si="8"/>
        <v>1</v>
      </c>
      <c r="K27" s="135">
        <f t="shared" ca="1" si="4"/>
        <v>0</v>
      </c>
      <c r="L27" s="114">
        <f t="shared" ca="1" si="9"/>
        <v>0</v>
      </c>
      <c r="M27" s="135">
        <f t="shared" ca="1" si="5"/>
        <v>0</v>
      </c>
      <c r="N27" s="114">
        <f t="shared" ca="1" si="10"/>
        <v>0</v>
      </c>
      <c r="O27" s="135">
        <f t="shared" ca="1" si="6"/>
        <v>0</v>
      </c>
      <c r="P27" s="114">
        <f t="shared" ca="1" si="11"/>
        <v>0</v>
      </c>
      <c r="Q27" s="135">
        <f t="shared" ca="1" si="7"/>
        <v>11000</v>
      </c>
    </row>
    <row r="28" spans="1:17" ht="14.1" customHeight="1" thickBot="1">
      <c r="A28" s="88"/>
      <c r="B28" s="106" t="str">
        <f>"Total "&amp;B20</f>
        <v>Total Water System Expense</v>
      </c>
      <c r="C28" s="90"/>
      <c r="D28" s="101">
        <f ca="1">SUM(D21:D27)</f>
        <v>1075600</v>
      </c>
      <c r="E28" s="102"/>
      <c r="F28" s="101">
        <f ca="1">SUM(F21:F27)</f>
        <v>919420</v>
      </c>
      <c r="G28" s="113">
        <f ca="1">SUM(G21:G27)</f>
        <v>1178600</v>
      </c>
      <c r="H28" s="111">
        <f t="shared" ref="H28" ca="1" si="13">F28/D28</f>
        <v>0.8547973224246932</v>
      </c>
      <c r="I28" s="117">
        <f ca="1">SUM(I21:I27)</f>
        <v>1178600</v>
      </c>
      <c r="J28" s="111"/>
      <c r="K28" s="117">
        <f ca="1">SUM(K21:K27)</f>
        <v>0</v>
      </c>
      <c r="L28" s="111"/>
      <c r="M28" s="117">
        <f ca="1">SUM(M21:M27)</f>
        <v>0</v>
      </c>
      <c r="N28" s="111"/>
      <c r="O28" s="117">
        <f ca="1">SUM(O21:O27)</f>
        <v>0</v>
      </c>
      <c r="P28" s="111"/>
      <c r="Q28" s="117">
        <f ca="1">SUM(Q21:Q27)</f>
        <v>1178600</v>
      </c>
    </row>
    <row r="29" spans="1:17" ht="14.1" customHeight="1" thickTop="1">
      <c r="A29" s="88"/>
      <c r="B29" s="91" t="s">
        <v>514</v>
      </c>
      <c r="C29" s="88"/>
      <c r="G29" s="112"/>
      <c r="I29" s="108"/>
      <c r="K29" s="108"/>
      <c r="M29" s="108"/>
      <c r="O29" s="108"/>
      <c r="Q29" s="108"/>
    </row>
    <row r="30" spans="1:17" ht="14.1" customHeight="1">
      <c r="A30" s="88"/>
      <c r="B30" s="98" t="s">
        <v>527</v>
      </c>
      <c r="C30" s="88"/>
      <c r="G30" s="112"/>
      <c r="I30" s="108"/>
      <c r="K30" s="108"/>
      <c r="M30" s="108"/>
      <c r="O30" s="108"/>
      <c r="Q30" s="108"/>
    </row>
    <row r="31" spans="1:17" ht="14.1" customHeight="1">
      <c r="A31" s="88">
        <f>A27+1</f>
        <v>11</v>
      </c>
      <c r="B31" s="99" t="s">
        <v>528</v>
      </c>
      <c r="C31" s="88">
        <v>4260</v>
      </c>
      <c r="D31" s="93">
        <f ca="1">INDIRECT("'"&amp;$A31&amp;"'!"&amp;D$5)</f>
        <v>980000</v>
      </c>
      <c r="E31" s="93">
        <f t="shared" ref="E31:G34" ca="1" si="14">INDIRECT("'"&amp;$A31&amp;"'!"&amp;E$5)</f>
        <v>697660</v>
      </c>
      <c r="F31" s="93">
        <f t="shared" ca="1" si="14"/>
        <v>940208</v>
      </c>
      <c r="G31" s="112">
        <f t="shared" ca="1" si="14"/>
        <v>940000</v>
      </c>
      <c r="H31" s="105">
        <f ca="1">F31/D31</f>
        <v>0.95939591836734694</v>
      </c>
      <c r="I31" s="108">
        <f ca="1">G31*J31</f>
        <v>0</v>
      </c>
      <c r="J31" s="105">
        <f ca="1">INDIRECT("'"&amp;$A31&amp;"'!"&amp;J$5)</f>
        <v>0</v>
      </c>
      <c r="K31" s="108">
        <f ca="1">G31*L31</f>
        <v>940000</v>
      </c>
      <c r="L31" s="105">
        <f ca="1">INDIRECT("'"&amp;$A31&amp;"'!"&amp;L$5)</f>
        <v>1</v>
      </c>
      <c r="M31" s="108">
        <f ca="1">G31*N31</f>
        <v>0</v>
      </c>
      <c r="N31" s="105">
        <f ca="1">INDIRECT("'"&amp;$A31&amp;"'!"&amp;N$5)</f>
        <v>0</v>
      </c>
      <c r="O31" s="108">
        <f ca="1">G31*P31</f>
        <v>0</v>
      </c>
      <c r="P31" s="105">
        <f ca="1">INDIRECT("'"&amp;$A31&amp;"'!"&amp;P$5)</f>
        <v>0</v>
      </c>
      <c r="Q31" s="108">
        <f t="shared" ref="Q31:Q34" ca="1" si="15">I31+K31+M31+O31</f>
        <v>940000</v>
      </c>
    </row>
    <row r="32" spans="1:17" ht="14.1" customHeight="1">
      <c r="A32" s="132">
        <f t="shared" ref="A32:A34" si="16">A31+1</f>
        <v>12</v>
      </c>
      <c r="B32" s="133" t="s">
        <v>529</v>
      </c>
      <c r="C32" s="132">
        <v>4265</v>
      </c>
      <c r="D32" s="109">
        <f t="shared" ref="D32:D34" ca="1" si="17">INDIRECT("'"&amp;$A32&amp;"'!"&amp;D$5)</f>
        <v>97000</v>
      </c>
      <c r="E32" s="109">
        <f t="shared" ca="1" si="14"/>
        <v>46550</v>
      </c>
      <c r="F32" s="109">
        <f t="shared" ca="1" si="14"/>
        <v>97000</v>
      </c>
      <c r="G32" s="110">
        <f t="shared" ca="1" si="14"/>
        <v>109000</v>
      </c>
      <c r="H32" s="114">
        <f t="shared" ref="H32:H35" ca="1" si="18">F32/D32</f>
        <v>1</v>
      </c>
      <c r="I32" s="135">
        <f t="shared" ref="I32:I34" ca="1" si="19">G32*J32</f>
        <v>0</v>
      </c>
      <c r="J32" s="114">
        <f t="shared" ref="J32:J34" ca="1" si="20">INDIRECT("'"&amp;$A32&amp;"'!"&amp;J$5)</f>
        <v>0</v>
      </c>
      <c r="K32" s="135">
        <f t="shared" ref="K32:K34" ca="1" si="21">G32*L32</f>
        <v>109000</v>
      </c>
      <c r="L32" s="114">
        <f t="shared" ref="L32:L34" ca="1" si="22">INDIRECT("'"&amp;$A32&amp;"'!"&amp;L$5)</f>
        <v>1</v>
      </c>
      <c r="M32" s="135">
        <f t="shared" ref="M32:M34" ca="1" si="23">G32*N32</f>
        <v>0</v>
      </c>
      <c r="N32" s="114">
        <f t="shared" ref="N32:N34" ca="1" si="24">INDIRECT("'"&amp;$A32&amp;"'!"&amp;N$5)</f>
        <v>0</v>
      </c>
      <c r="O32" s="135">
        <f t="shared" ref="O32:O34" ca="1" si="25">G32*P32</f>
        <v>0</v>
      </c>
      <c r="P32" s="114">
        <f t="shared" ref="P32:P34" ca="1" si="26">INDIRECT("'"&amp;$A32&amp;"'!"&amp;P$5)</f>
        <v>0</v>
      </c>
      <c r="Q32" s="135">
        <f t="shared" ca="1" si="15"/>
        <v>109000</v>
      </c>
    </row>
    <row r="33" spans="1:17" ht="14.1" customHeight="1">
      <c r="A33" s="88">
        <f t="shared" si="16"/>
        <v>13</v>
      </c>
      <c r="B33" s="99" t="s">
        <v>346</v>
      </c>
      <c r="C33" s="88">
        <v>4270</v>
      </c>
      <c r="D33" s="93">
        <f t="shared" ca="1" si="17"/>
        <v>34000</v>
      </c>
      <c r="E33" s="93">
        <f t="shared" ca="1" si="14"/>
        <v>23900</v>
      </c>
      <c r="F33" s="93">
        <f t="shared" ca="1" si="14"/>
        <v>34000</v>
      </c>
      <c r="G33" s="112">
        <f t="shared" ca="1" si="14"/>
        <v>34000</v>
      </c>
      <c r="H33" s="105">
        <f t="shared" ca="1" si="18"/>
        <v>1</v>
      </c>
      <c r="I33" s="108">
        <f t="shared" ca="1" si="19"/>
        <v>0</v>
      </c>
      <c r="J33" s="105">
        <f t="shared" ca="1" si="20"/>
        <v>0</v>
      </c>
      <c r="K33" s="108">
        <f t="shared" ca="1" si="21"/>
        <v>34000</v>
      </c>
      <c r="L33" s="105">
        <f t="shared" ca="1" si="22"/>
        <v>1</v>
      </c>
      <c r="M33" s="108">
        <f t="shared" ca="1" si="23"/>
        <v>0</v>
      </c>
      <c r="N33" s="105">
        <f t="shared" ca="1" si="24"/>
        <v>0</v>
      </c>
      <c r="O33" s="108">
        <f t="shared" ca="1" si="25"/>
        <v>0</v>
      </c>
      <c r="P33" s="105">
        <f t="shared" ca="1" si="26"/>
        <v>0</v>
      </c>
      <c r="Q33" s="108">
        <f t="shared" ca="1" si="15"/>
        <v>34000</v>
      </c>
    </row>
    <row r="34" spans="1:17" ht="14.1" customHeight="1">
      <c r="A34" s="132">
        <f t="shared" si="16"/>
        <v>14</v>
      </c>
      <c r="B34" s="133" t="s">
        <v>530</v>
      </c>
      <c r="C34" s="132">
        <v>4275</v>
      </c>
      <c r="D34" s="109">
        <f t="shared" ca="1" si="17"/>
        <v>20000</v>
      </c>
      <c r="E34" s="109">
        <f t="shared" ca="1" si="14"/>
        <v>15850</v>
      </c>
      <c r="F34" s="109">
        <f t="shared" ca="1" si="14"/>
        <v>19000</v>
      </c>
      <c r="G34" s="110">
        <f t="shared" ca="1" si="14"/>
        <v>21000</v>
      </c>
      <c r="H34" s="114">
        <f t="shared" ca="1" si="18"/>
        <v>0.95</v>
      </c>
      <c r="I34" s="135">
        <f t="shared" ca="1" si="19"/>
        <v>0</v>
      </c>
      <c r="J34" s="114">
        <f t="shared" ca="1" si="20"/>
        <v>0</v>
      </c>
      <c r="K34" s="135">
        <f t="shared" ca="1" si="21"/>
        <v>21000</v>
      </c>
      <c r="L34" s="114">
        <f t="shared" ca="1" si="22"/>
        <v>1</v>
      </c>
      <c r="M34" s="135">
        <f t="shared" ca="1" si="23"/>
        <v>0</v>
      </c>
      <c r="N34" s="114">
        <f t="shared" ca="1" si="24"/>
        <v>0</v>
      </c>
      <c r="O34" s="135">
        <f t="shared" ca="1" si="25"/>
        <v>0</v>
      </c>
      <c r="P34" s="114">
        <f t="shared" ca="1" si="26"/>
        <v>0</v>
      </c>
      <c r="Q34" s="135">
        <f t="shared" ca="1" si="15"/>
        <v>21000</v>
      </c>
    </row>
    <row r="35" spans="1:17" ht="14.1" customHeight="1" thickBot="1">
      <c r="A35" s="88"/>
      <c r="B35" s="106" t="str">
        <f>"Total "&amp;B30</f>
        <v>Total Sewer System Expense</v>
      </c>
      <c r="C35" s="90"/>
      <c r="D35" s="101">
        <f ca="1">SUM(D31:D34)</f>
        <v>1131000</v>
      </c>
      <c r="E35" s="102"/>
      <c r="F35" s="101">
        <f ca="1">SUM(F31:F34)</f>
        <v>1090208</v>
      </c>
      <c r="G35" s="113">
        <f ca="1">SUM(G31:G34)</f>
        <v>1104000</v>
      </c>
      <c r="H35" s="111">
        <f t="shared" ca="1" si="18"/>
        <v>0.96393280282935456</v>
      </c>
      <c r="I35" s="117">
        <f ca="1">SUM(I31:I34)</f>
        <v>0</v>
      </c>
      <c r="J35" s="111"/>
      <c r="K35" s="117">
        <f ca="1">SUM(K31:K34)</f>
        <v>1104000</v>
      </c>
      <c r="L35" s="111"/>
      <c r="M35" s="117">
        <f ca="1">SUM(M31:M34)</f>
        <v>0</v>
      </c>
      <c r="N35" s="111"/>
      <c r="O35" s="117">
        <f ca="1">SUM(O31:O34)</f>
        <v>0</v>
      </c>
      <c r="P35" s="111"/>
      <c r="Q35" s="117">
        <f ca="1">SUM(Q31:Q34)</f>
        <v>1104000</v>
      </c>
    </row>
    <row r="36" spans="1:17" ht="14.1" customHeight="1" thickTop="1">
      <c r="A36" s="88"/>
      <c r="B36" s="91" t="s">
        <v>514</v>
      </c>
      <c r="C36" s="88"/>
      <c r="G36" s="112"/>
      <c r="I36" s="108"/>
      <c r="K36" s="108"/>
      <c r="M36" s="108"/>
      <c r="O36" s="108"/>
      <c r="Q36" s="108"/>
    </row>
    <row r="37" spans="1:17" ht="14.1" customHeight="1">
      <c r="A37" s="88"/>
      <c r="B37" s="98" t="s">
        <v>531</v>
      </c>
      <c r="C37" s="88"/>
      <c r="G37" s="112"/>
      <c r="I37" s="108"/>
      <c r="K37" s="108"/>
      <c r="M37" s="108"/>
      <c r="O37" s="108"/>
      <c r="Q37" s="108"/>
    </row>
    <row r="38" spans="1:17" ht="14.1" customHeight="1">
      <c r="A38" s="88">
        <f>A34+1</f>
        <v>15</v>
      </c>
      <c r="B38" s="99" t="s">
        <v>532</v>
      </c>
      <c r="C38" s="88">
        <v>4285</v>
      </c>
      <c r="D38" s="93">
        <f t="shared" ref="D38:G38" ca="1" si="27">INDIRECT("'"&amp;$A38&amp;"'!"&amp;D$5)</f>
        <v>600000</v>
      </c>
      <c r="E38" s="93">
        <f t="shared" ca="1" si="27"/>
        <v>427841</v>
      </c>
      <c r="F38" s="93">
        <f t="shared" ca="1" si="27"/>
        <v>572920</v>
      </c>
      <c r="G38" s="112">
        <f t="shared" ca="1" si="27"/>
        <v>600000</v>
      </c>
      <c r="H38" s="105">
        <f t="shared" ref="H38:H39" ca="1" si="28">F38/D38</f>
        <v>0.95486666666666664</v>
      </c>
      <c r="I38" s="108">
        <f t="shared" ref="I38" ca="1" si="29">G38*J38</f>
        <v>0</v>
      </c>
      <c r="J38" s="105">
        <f t="shared" ref="J38" ca="1" si="30">INDIRECT("'"&amp;$A38&amp;"'!"&amp;J$5)</f>
        <v>0</v>
      </c>
      <c r="K38" s="108">
        <f t="shared" ref="K38" ca="1" si="31">G38*L38</f>
        <v>0</v>
      </c>
      <c r="L38" s="105">
        <f t="shared" ref="L38" ca="1" si="32">INDIRECT("'"&amp;$A38&amp;"'!"&amp;L$5)</f>
        <v>0</v>
      </c>
      <c r="M38" s="108">
        <f t="shared" ref="M38" ca="1" si="33">G38*N38</f>
        <v>600000</v>
      </c>
      <c r="N38" s="105">
        <f t="shared" ref="N38" ca="1" si="34">INDIRECT("'"&amp;$A38&amp;"'!"&amp;N$5)</f>
        <v>1</v>
      </c>
      <c r="O38" s="108">
        <f t="shared" ref="O38" ca="1" si="35">G38*P38</f>
        <v>0</v>
      </c>
      <c r="P38" s="105">
        <f t="shared" ref="P38" ca="1" si="36">INDIRECT("'"&amp;$A38&amp;"'!"&amp;P$5)</f>
        <v>0</v>
      </c>
      <c r="Q38" s="108">
        <f t="shared" ref="Q38" ca="1" si="37">I38+K38+M38+O38</f>
        <v>600000</v>
      </c>
    </row>
    <row r="39" spans="1:17" ht="14.1" customHeight="1" thickBot="1">
      <c r="A39" s="88"/>
      <c r="B39" s="106" t="str">
        <f>"Total "&amp;B37</f>
        <v>Total Trash Expense</v>
      </c>
      <c r="C39" s="90"/>
      <c r="D39" s="101">
        <f ca="1">SUM(D38)</f>
        <v>600000</v>
      </c>
      <c r="E39" s="102"/>
      <c r="F39" s="101">
        <f ca="1">SUM(F38)</f>
        <v>572920</v>
      </c>
      <c r="G39" s="113">
        <f ca="1">SUM(G38)</f>
        <v>600000</v>
      </c>
      <c r="H39" s="111">
        <f t="shared" ca="1" si="28"/>
        <v>0.95486666666666664</v>
      </c>
      <c r="I39" s="117">
        <f ca="1">SUM(I38)</f>
        <v>0</v>
      </c>
      <c r="J39" s="111"/>
      <c r="K39" s="117">
        <f ca="1">SUM(K38)</f>
        <v>0</v>
      </c>
      <c r="L39" s="111"/>
      <c r="M39" s="117">
        <f ca="1">SUM(M38)</f>
        <v>600000</v>
      </c>
      <c r="N39" s="111"/>
      <c r="O39" s="117">
        <f ca="1">SUM(O38)</f>
        <v>0</v>
      </c>
      <c r="P39" s="111"/>
      <c r="Q39" s="117">
        <f ca="1">SUM(Q38)</f>
        <v>600000</v>
      </c>
    </row>
    <row r="40" spans="1:17" ht="14.1" customHeight="1" thickTop="1">
      <c r="A40" s="88"/>
      <c r="B40" s="91" t="s">
        <v>514</v>
      </c>
      <c r="C40" s="88"/>
      <c r="G40" s="112"/>
      <c r="I40" s="108"/>
      <c r="K40" s="108"/>
      <c r="M40" s="108"/>
      <c r="O40" s="108"/>
      <c r="Q40" s="108"/>
    </row>
    <row r="41" spans="1:17" ht="14.1" customHeight="1">
      <c r="A41" s="88"/>
      <c r="B41" s="98" t="s">
        <v>533</v>
      </c>
      <c r="C41" s="88"/>
      <c r="G41" s="112"/>
      <c r="I41" s="108"/>
      <c r="K41" s="108"/>
      <c r="M41" s="108"/>
      <c r="O41" s="108"/>
      <c r="Q41" s="108"/>
    </row>
    <row r="42" spans="1:17" ht="14.1" customHeight="1">
      <c r="A42" s="132">
        <f>A38+1</f>
        <v>16</v>
      </c>
      <c r="B42" s="133" t="s">
        <v>534</v>
      </c>
      <c r="C42" s="132">
        <v>4310</v>
      </c>
      <c r="D42" s="109">
        <f t="shared" ref="D42:G49" ca="1" si="38">INDIRECT("'"&amp;$A42&amp;"'!"&amp;D$5)</f>
        <v>15000</v>
      </c>
      <c r="E42" s="109">
        <f t="shared" ca="1" si="38"/>
        <v>7152</v>
      </c>
      <c r="F42" s="109">
        <f t="shared" ca="1" si="38"/>
        <v>10000</v>
      </c>
      <c r="G42" s="110">
        <f t="shared" ca="1" si="38"/>
        <v>15000</v>
      </c>
      <c r="H42" s="114">
        <f t="shared" ref="H42:H50" ca="1" si="39">F42/D42</f>
        <v>0.66666666666666663</v>
      </c>
      <c r="I42" s="135">
        <f t="shared" ref="I42:I49" ca="1" si="40">G42*J42</f>
        <v>6450</v>
      </c>
      <c r="J42" s="114">
        <f t="shared" ref="J42:J49" ca="1" si="41">INDIRECT("'"&amp;$A42&amp;"'!"&amp;J$5)</f>
        <v>0.43</v>
      </c>
      <c r="K42" s="135">
        <f t="shared" ref="K42:K49" ca="1" si="42">G42*L42</f>
        <v>6150</v>
      </c>
      <c r="L42" s="114">
        <f t="shared" ref="L42:L49" ca="1" si="43">INDIRECT("'"&amp;$A42&amp;"'!"&amp;L$5)</f>
        <v>0.41</v>
      </c>
      <c r="M42" s="135">
        <f t="shared" ref="M42:M49" ca="1" si="44">G42*N42</f>
        <v>2100</v>
      </c>
      <c r="N42" s="114">
        <f t="shared" ref="N42:N49" ca="1" si="45">INDIRECT("'"&amp;$A42&amp;"'!"&amp;N$5)</f>
        <v>0.14000000000000001</v>
      </c>
      <c r="O42" s="135">
        <f t="shared" ref="O42:O49" ca="1" si="46">G42*P42</f>
        <v>300</v>
      </c>
      <c r="P42" s="114">
        <f t="shared" ref="P42:P49" ca="1" si="47">INDIRECT("'"&amp;$A42&amp;"'!"&amp;P$5)</f>
        <v>0.02</v>
      </c>
      <c r="Q42" s="135">
        <f t="shared" ref="Q42:Q49" ca="1" si="48">I42+K42+M42+O42</f>
        <v>15000</v>
      </c>
    </row>
    <row r="43" spans="1:17" ht="14.1" customHeight="1">
      <c r="A43" s="88">
        <f t="shared" ref="A43:A49" si="49">A42+1</f>
        <v>17</v>
      </c>
      <c r="B43" s="99" t="s">
        <v>535</v>
      </c>
      <c r="C43" s="88">
        <v>4320</v>
      </c>
      <c r="D43" s="93">
        <f t="shared" ca="1" si="38"/>
        <v>12000</v>
      </c>
      <c r="E43" s="93">
        <v>1970</v>
      </c>
      <c r="F43" s="93">
        <f t="shared" ca="1" si="38"/>
        <v>11000</v>
      </c>
      <c r="G43" s="112">
        <f t="shared" ca="1" si="38"/>
        <v>12000</v>
      </c>
      <c r="H43" s="105">
        <f t="shared" ca="1" si="39"/>
        <v>0.91666666666666663</v>
      </c>
      <c r="I43" s="108">
        <f t="shared" ca="1" si="40"/>
        <v>5160</v>
      </c>
      <c r="J43" s="105">
        <f t="shared" ca="1" si="41"/>
        <v>0.43</v>
      </c>
      <c r="K43" s="108">
        <f t="shared" ca="1" si="42"/>
        <v>4920</v>
      </c>
      <c r="L43" s="105">
        <f t="shared" ca="1" si="43"/>
        <v>0.41</v>
      </c>
      <c r="M43" s="108">
        <f t="shared" ca="1" si="44"/>
        <v>1680.0000000000002</v>
      </c>
      <c r="N43" s="105">
        <f t="shared" ca="1" si="45"/>
        <v>0.14000000000000001</v>
      </c>
      <c r="O43" s="108">
        <f t="shared" ca="1" si="46"/>
        <v>240</v>
      </c>
      <c r="P43" s="105">
        <f t="shared" ca="1" si="47"/>
        <v>0.02</v>
      </c>
      <c r="Q43" s="108">
        <f t="shared" ca="1" si="48"/>
        <v>12000</v>
      </c>
    </row>
    <row r="44" spans="1:17" ht="14.1" customHeight="1">
      <c r="A44" s="132">
        <f t="shared" si="49"/>
        <v>18</v>
      </c>
      <c r="B44" s="133" t="s">
        <v>536</v>
      </c>
      <c r="C44" s="132">
        <v>4330</v>
      </c>
      <c r="D44" s="109">
        <f t="shared" ca="1" si="38"/>
        <v>3000</v>
      </c>
      <c r="E44" s="109">
        <v>1100</v>
      </c>
      <c r="F44" s="109">
        <f t="shared" ca="1" si="38"/>
        <v>2500</v>
      </c>
      <c r="G44" s="110">
        <f t="shared" ca="1" si="38"/>
        <v>3000</v>
      </c>
      <c r="H44" s="114">
        <f t="shared" ca="1" si="39"/>
        <v>0.83333333333333337</v>
      </c>
      <c r="I44" s="135">
        <f t="shared" ca="1" si="40"/>
        <v>990</v>
      </c>
      <c r="J44" s="114">
        <f t="shared" ca="1" si="41"/>
        <v>0.33</v>
      </c>
      <c r="K44" s="135">
        <f t="shared" ca="1" si="42"/>
        <v>1020.0000000000001</v>
      </c>
      <c r="L44" s="114">
        <f t="shared" ca="1" si="43"/>
        <v>0.34</v>
      </c>
      <c r="M44" s="135">
        <f t="shared" ca="1" si="44"/>
        <v>990</v>
      </c>
      <c r="N44" s="114">
        <f t="shared" ca="1" si="45"/>
        <v>0.33</v>
      </c>
      <c r="O44" s="135">
        <f t="shared" ca="1" si="46"/>
        <v>0</v>
      </c>
      <c r="P44" s="114">
        <f t="shared" ca="1" si="47"/>
        <v>0</v>
      </c>
      <c r="Q44" s="135">
        <f t="shared" ca="1" si="48"/>
        <v>3000</v>
      </c>
    </row>
    <row r="45" spans="1:17" ht="14.1" customHeight="1">
      <c r="A45" s="88">
        <f t="shared" si="49"/>
        <v>19</v>
      </c>
      <c r="B45" s="99" t="s">
        <v>537</v>
      </c>
      <c r="C45" s="88">
        <v>4340</v>
      </c>
      <c r="D45" s="93">
        <f t="shared" ca="1" si="38"/>
        <v>12000</v>
      </c>
      <c r="E45" s="93">
        <v>6000</v>
      </c>
      <c r="F45" s="93">
        <f t="shared" ca="1" si="38"/>
        <v>8000</v>
      </c>
      <c r="G45" s="112">
        <f ca="1">INDIRECT("'"&amp;$A45&amp;"'!"&amp;G$5)</f>
        <v>17000</v>
      </c>
      <c r="H45" s="105">
        <f t="shared" ca="1" si="39"/>
        <v>0.66666666666666663</v>
      </c>
      <c r="I45" s="108">
        <f t="shared" ca="1" si="40"/>
        <v>5610</v>
      </c>
      <c r="J45" s="105">
        <f t="shared" ca="1" si="41"/>
        <v>0.33</v>
      </c>
      <c r="K45" s="108">
        <f t="shared" ca="1" si="42"/>
        <v>5780</v>
      </c>
      <c r="L45" s="105">
        <f t="shared" ca="1" si="43"/>
        <v>0.34</v>
      </c>
      <c r="M45" s="108">
        <f t="shared" ca="1" si="44"/>
        <v>5610</v>
      </c>
      <c r="N45" s="105">
        <f t="shared" ca="1" si="45"/>
        <v>0.33</v>
      </c>
      <c r="O45" s="108">
        <f t="shared" ca="1" si="46"/>
        <v>0</v>
      </c>
      <c r="P45" s="105">
        <f t="shared" ca="1" si="47"/>
        <v>0</v>
      </c>
      <c r="Q45" s="108">
        <f t="shared" ca="1" si="48"/>
        <v>17000</v>
      </c>
    </row>
    <row r="46" spans="1:17" ht="14.1" customHeight="1">
      <c r="A46" s="132">
        <f t="shared" si="49"/>
        <v>20</v>
      </c>
      <c r="B46" s="133" t="s">
        <v>538</v>
      </c>
      <c r="C46" s="132">
        <v>4350</v>
      </c>
      <c r="D46" s="109">
        <f t="shared" ca="1" si="38"/>
        <v>1500</v>
      </c>
      <c r="E46" s="109">
        <f t="shared" ca="1" si="38"/>
        <v>360</v>
      </c>
      <c r="F46" s="109">
        <f t="shared" ca="1" si="38"/>
        <v>1500</v>
      </c>
      <c r="G46" s="110">
        <f t="shared" ca="1" si="38"/>
        <v>1500</v>
      </c>
      <c r="H46" s="114">
        <f t="shared" ca="1" si="39"/>
        <v>1</v>
      </c>
      <c r="I46" s="135">
        <f t="shared" ca="1" si="40"/>
        <v>495</v>
      </c>
      <c r="J46" s="114">
        <f t="shared" ca="1" si="41"/>
        <v>0.33</v>
      </c>
      <c r="K46" s="135">
        <f t="shared" ca="1" si="42"/>
        <v>510.00000000000006</v>
      </c>
      <c r="L46" s="114">
        <f t="shared" ca="1" si="43"/>
        <v>0.34</v>
      </c>
      <c r="M46" s="135">
        <f t="shared" ca="1" si="44"/>
        <v>495</v>
      </c>
      <c r="N46" s="114">
        <f t="shared" ca="1" si="45"/>
        <v>0.33</v>
      </c>
      <c r="O46" s="135">
        <f t="shared" ca="1" si="46"/>
        <v>0</v>
      </c>
      <c r="P46" s="114">
        <f t="shared" ca="1" si="47"/>
        <v>0</v>
      </c>
      <c r="Q46" s="135">
        <f t="shared" ca="1" si="48"/>
        <v>1500</v>
      </c>
    </row>
    <row r="47" spans="1:17" ht="14.1" customHeight="1">
      <c r="A47" s="88">
        <f t="shared" si="49"/>
        <v>21</v>
      </c>
      <c r="B47" s="99" t="s">
        <v>539</v>
      </c>
      <c r="C47" s="88">
        <v>4360</v>
      </c>
      <c r="D47" s="93">
        <f t="shared" ca="1" si="38"/>
        <v>4500</v>
      </c>
      <c r="E47" s="93">
        <v>2860</v>
      </c>
      <c r="F47" s="93">
        <f t="shared" ca="1" si="38"/>
        <v>4000</v>
      </c>
      <c r="G47" s="112">
        <f t="shared" ca="1" si="38"/>
        <v>4500</v>
      </c>
      <c r="H47" s="105">
        <f t="shared" ca="1" si="39"/>
        <v>0.88888888888888884</v>
      </c>
      <c r="I47" s="108">
        <f t="shared" ca="1" si="40"/>
        <v>0</v>
      </c>
      <c r="J47" s="105">
        <f t="shared" ca="1" si="41"/>
        <v>0</v>
      </c>
      <c r="K47" s="108">
        <f t="shared" ca="1" si="42"/>
        <v>0</v>
      </c>
      <c r="L47" s="105">
        <f t="shared" ca="1" si="43"/>
        <v>0</v>
      </c>
      <c r="M47" s="108">
        <f t="shared" ca="1" si="44"/>
        <v>0</v>
      </c>
      <c r="N47" s="105">
        <f t="shared" ca="1" si="45"/>
        <v>0</v>
      </c>
      <c r="O47" s="108">
        <f t="shared" ca="1" si="46"/>
        <v>4500</v>
      </c>
      <c r="P47" s="105">
        <f t="shared" ca="1" si="47"/>
        <v>1</v>
      </c>
      <c r="Q47" s="108">
        <f t="shared" ca="1" si="48"/>
        <v>4500</v>
      </c>
    </row>
    <row r="48" spans="1:17" ht="14.1" customHeight="1">
      <c r="A48" s="132">
        <f t="shared" si="49"/>
        <v>22</v>
      </c>
      <c r="B48" s="133" t="s">
        <v>540</v>
      </c>
      <c r="C48" s="132">
        <v>4370</v>
      </c>
      <c r="D48" s="109">
        <f t="shared" ca="1" si="38"/>
        <v>5000</v>
      </c>
      <c r="E48" s="109">
        <v>790</v>
      </c>
      <c r="F48" s="109">
        <f t="shared" ca="1" si="38"/>
        <v>5000</v>
      </c>
      <c r="G48" s="110">
        <f t="shared" ca="1" si="38"/>
        <v>5000</v>
      </c>
      <c r="H48" s="114">
        <f t="shared" ca="1" si="39"/>
        <v>1</v>
      </c>
      <c r="I48" s="135">
        <f t="shared" ca="1" si="40"/>
        <v>2150</v>
      </c>
      <c r="J48" s="114">
        <f t="shared" ca="1" si="41"/>
        <v>0.43</v>
      </c>
      <c r="K48" s="135">
        <f t="shared" ca="1" si="42"/>
        <v>2050</v>
      </c>
      <c r="L48" s="114">
        <f t="shared" ca="1" si="43"/>
        <v>0.41</v>
      </c>
      <c r="M48" s="135">
        <f t="shared" ca="1" si="44"/>
        <v>700.00000000000011</v>
      </c>
      <c r="N48" s="114">
        <f t="shared" ca="1" si="45"/>
        <v>0.14000000000000001</v>
      </c>
      <c r="O48" s="135">
        <f t="shared" ca="1" si="46"/>
        <v>100</v>
      </c>
      <c r="P48" s="114">
        <f t="shared" ca="1" si="47"/>
        <v>0.02</v>
      </c>
      <c r="Q48" s="135">
        <f t="shared" ca="1" si="48"/>
        <v>5000</v>
      </c>
    </row>
    <row r="49" spans="1:17" ht="14.1" customHeight="1">
      <c r="A49" s="88">
        <f t="shared" si="49"/>
        <v>23</v>
      </c>
      <c r="B49" s="99" t="s">
        <v>541</v>
      </c>
      <c r="C49" s="88">
        <v>4380</v>
      </c>
      <c r="D49" s="93">
        <f t="shared" ca="1" si="38"/>
        <v>1500</v>
      </c>
      <c r="E49" s="93">
        <f t="shared" ca="1" si="38"/>
        <v>0</v>
      </c>
      <c r="F49" s="93">
        <f t="shared" ca="1" si="38"/>
        <v>0</v>
      </c>
      <c r="G49" s="112">
        <f t="shared" ca="1" si="38"/>
        <v>1500</v>
      </c>
      <c r="H49" s="105">
        <f t="shared" ca="1" si="39"/>
        <v>0</v>
      </c>
      <c r="I49" s="108">
        <f t="shared" ca="1" si="40"/>
        <v>0</v>
      </c>
      <c r="J49" s="105">
        <f t="shared" ca="1" si="41"/>
        <v>0</v>
      </c>
      <c r="K49" s="108">
        <f t="shared" ca="1" si="42"/>
        <v>0</v>
      </c>
      <c r="L49" s="105">
        <f t="shared" ca="1" si="43"/>
        <v>0</v>
      </c>
      <c r="M49" s="108">
        <f t="shared" ca="1" si="44"/>
        <v>0</v>
      </c>
      <c r="N49" s="105">
        <f t="shared" ca="1" si="45"/>
        <v>0</v>
      </c>
      <c r="O49" s="108">
        <f t="shared" ca="1" si="46"/>
        <v>1500</v>
      </c>
      <c r="P49" s="105">
        <f t="shared" ca="1" si="47"/>
        <v>1</v>
      </c>
      <c r="Q49" s="108">
        <f t="shared" ca="1" si="48"/>
        <v>1500</v>
      </c>
    </row>
    <row r="50" spans="1:17" ht="14.1" customHeight="1" thickBot="1">
      <c r="A50" s="88"/>
      <c r="B50" s="106" t="str">
        <f>"Total "&amp;B41</f>
        <v>Total Maintenance Expenses</v>
      </c>
      <c r="C50" s="90"/>
      <c r="D50" s="101">
        <f ca="1">SUM(D42:D49)</f>
        <v>54500</v>
      </c>
      <c r="E50" s="102"/>
      <c r="F50" s="101">
        <f ca="1">SUM(F42:F49)</f>
        <v>42000</v>
      </c>
      <c r="G50" s="113">
        <f ca="1">SUM(G42:G49)</f>
        <v>59500</v>
      </c>
      <c r="H50" s="111">
        <f t="shared" ca="1" si="39"/>
        <v>0.77064220183486243</v>
      </c>
      <c r="I50" s="117">
        <f ca="1">SUM(I42:I49)</f>
        <v>20855</v>
      </c>
      <c r="J50" s="111"/>
      <c r="K50" s="117">
        <f ca="1">SUM(K42:K49)</f>
        <v>20430</v>
      </c>
      <c r="L50" s="111"/>
      <c r="M50" s="117">
        <f ca="1">SUM(M42:M49)</f>
        <v>11575</v>
      </c>
      <c r="N50" s="111"/>
      <c r="O50" s="117">
        <f ca="1">SUM(O42:O49)</f>
        <v>6640</v>
      </c>
      <c r="P50" s="111"/>
      <c r="Q50" s="117">
        <f ca="1">SUM(Q42:Q49)</f>
        <v>59500</v>
      </c>
    </row>
    <row r="51" spans="1:17" ht="14.1" customHeight="1" thickTop="1">
      <c r="A51" s="88"/>
      <c r="B51" s="91" t="s">
        <v>514</v>
      </c>
      <c r="C51" s="88"/>
      <c r="G51" s="112"/>
      <c r="I51" s="108"/>
      <c r="K51" s="108"/>
      <c r="M51" s="108"/>
      <c r="O51" s="108"/>
      <c r="Q51" s="108"/>
    </row>
    <row r="52" spans="1:17" ht="14.1" customHeight="1">
      <c r="A52" s="88"/>
      <c r="B52" s="98" t="s">
        <v>542</v>
      </c>
      <c r="C52" s="88"/>
      <c r="G52" s="112"/>
      <c r="I52" s="108"/>
      <c r="K52" s="108"/>
      <c r="M52" s="108"/>
      <c r="O52" s="108"/>
      <c r="Q52" s="108"/>
    </row>
    <row r="53" spans="1:17" ht="14.1" customHeight="1">
      <c r="A53" s="132">
        <f>A49+1</f>
        <v>24</v>
      </c>
      <c r="B53" s="133" t="s">
        <v>543</v>
      </c>
      <c r="C53" s="132">
        <v>4400</v>
      </c>
      <c r="D53" s="109">
        <f t="shared" ref="D53:G59" ca="1" si="50">INDIRECT("'"&amp;$A53&amp;"'!"&amp;D$5)</f>
        <v>729600</v>
      </c>
      <c r="E53" s="109">
        <f t="shared" ca="1" si="50"/>
        <v>542869</v>
      </c>
      <c r="F53" s="109">
        <f t="shared" ca="1" si="50"/>
        <v>744930</v>
      </c>
      <c r="G53" s="110">
        <v>769000</v>
      </c>
      <c r="H53" s="114">
        <f t="shared" ref="H53:H60" ca="1" si="51">F53/D53</f>
        <v>1.0210115131578947</v>
      </c>
      <c r="I53" s="135">
        <f t="shared" ref="I53:I59" ca="1" si="52">G53*J53</f>
        <v>299910</v>
      </c>
      <c r="J53" s="114">
        <f t="shared" ref="J53:J59" ca="1" si="53">INDIRECT("'"&amp;$A53&amp;"'!"&amp;J$5)</f>
        <v>0.39</v>
      </c>
      <c r="K53" s="135">
        <f t="shared" ref="K53:K59" ca="1" si="54">G53*L53</f>
        <v>307600</v>
      </c>
      <c r="L53" s="114">
        <f t="shared" ref="L53:L59" ca="1" si="55">INDIRECT("'"&amp;$A53&amp;"'!"&amp;L$5)</f>
        <v>0.4</v>
      </c>
      <c r="M53" s="135">
        <f t="shared" ref="M53:M59" ca="1" si="56">G53*N53</f>
        <v>146110</v>
      </c>
      <c r="N53" s="114">
        <f t="shared" ref="N53:N59" ca="1" si="57">INDIRECT("'"&amp;$A53&amp;"'!"&amp;N$5)</f>
        <v>0.19</v>
      </c>
      <c r="O53" s="135">
        <f t="shared" ref="O53:O59" ca="1" si="58">G53*P53</f>
        <v>15380</v>
      </c>
      <c r="P53" s="114">
        <f t="shared" ref="P53:P59" ca="1" si="59">INDIRECT("'"&amp;$A53&amp;"'!"&amp;P$5)</f>
        <v>0.02</v>
      </c>
      <c r="Q53" s="135">
        <f t="shared" ref="Q53:Q59" ca="1" si="60">I53+K53+M53+O53</f>
        <v>769000</v>
      </c>
    </row>
    <row r="54" spans="1:17" ht="14.1" customHeight="1">
      <c r="A54" s="88">
        <f t="shared" ref="A54:A59" si="61">A53+1</f>
        <v>25</v>
      </c>
      <c r="B54" s="99" t="s">
        <v>176</v>
      </c>
      <c r="C54" s="88">
        <v>4500</v>
      </c>
      <c r="D54" s="93">
        <f t="shared" ca="1" si="50"/>
        <v>29000</v>
      </c>
      <c r="E54" s="93">
        <v>8100</v>
      </c>
      <c r="F54" s="93">
        <f t="shared" ca="1" si="50"/>
        <v>28000</v>
      </c>
      <c r="G54" s="112">
        <f t="shared" ca="1" si="50"/>
        <v>33000</v>
      </c>
      <c r="H54" s="105">
        <f t="shared" ca="1" si="51"/>
        <v>0.96551724137931039</v>
      </c>
      <c r="I54" s="108">
        <f t="shared" ca="1" si="52"/>
        <v>12870</v>
      </c>
      <c r="J54" s="105">
        <f t="shared" ca="1" si="53"/>
        <v>0.39</v>
      </c>
      <c r="K54" s="108">
        <f t="shared" ca="1" si="54"/>
        <v>13200</v>
      </c>
      <c r="L54" s="105">
        <f t="shared" ca="1" si="55"/>
        <v>0.4</v>
      </c>
      <c r="M54" s="108">
        <f t="shared" ca="1" si="56"/>
        <v>6270</v>
      </c>
      <c r="N54" s="105">
        <f t="shared" ca="1" si="57"/>
        <v>0.19</v>
      </c>
      <c r="O54" s="108">
        <f t="shared" ca="1" si="58"/>
        <v>660</v>
      </c>
      <c r="P54" s="105">
        <f t="shared" ca="1" si="59"/>
        <v>0.02</v>
      </c>
      <c r="Q54" s="108">
        <f t="shared" ca="1" si="60"/>
        <v>33000</v>
      </c>
    </row>
    <row r="55" spans="1:17" ht="14.1" customHeight="1">
      <c r="A55" s="132">
        <f t="shared" si="61"/>
        <v>26</v>
      </c>
      <c r="B55" s="133" t="s">
        <v>544</v>
      </c>
      <c r="C55" s="132">
        <v>4525</v>
      </c>
      <c r="D55" s="109">
        <f t="shared" ca="1" si="50"/>
        <v>128000</v>
      </c>
      <c r="E55" s="109">
        <f t="shared" ca="1" si="50"/>
        <v>76527</v>
      </c>
      <c r="F55" s="109">
        <f t="shared" ca="1" si="50"/>
        <v>110000</v>
      </c>
      <c r="G55" s="110">
        <f t="shared" ca="1" si="50"/>
        <v>140000</v>
      </c>
      <c r="H55" s="114">
        <f t="shared" ca="1" si="51"/>
        <v>0.859375</v>
      </c>
      <c r="I55" s="135">
        <f t="shared" ca="1" si="52"/>
        <v>54600</v>
      </c>
      <c r="J55" s="114">
        <f t="shared" ca="1" si="53"/>
        <v>0.39</v>
      </c>
      <c r="K55" s="135">
        <f t="shared" ca="1" si="54"/>
        <v>56000</v>
      </c>
      <c r="L55" s="114">
        <f t="shared" ca="1" si="55"/>
        <v>0.4</v>
      </c>
      <c r="M55" s="135">
        <f t="shared" ca="1" si="56"/>
        <v>26600</v>
      </c>
      <c r="N55" s="114">
        <f t="shared" ca="1" si="57"/>
        <v>0.19</v>
      </c>
      <c r="O55" s="135">
        <f t="shared" ca="1" si="58"/>
        <v>2800</v>
      </c>
      <c r="P55" s="114">
        <f t="shared" ca="1" si="59"/>
        <v>0.02</v>
      </c>
      <c r="Q55" s="135">
        <f t="shared" ca="1" si="60"/>
        <v>140000</v>
      </c>
    </row>
    <row r="56" spans="1:17" ht="14.1" customHeight="1">
      <c r="A56" s="88">
        <f t="shared" si="61"/>
        <v>27</v>
      </c>
      <c r="B56" s="99" t="s">
        <v>545</v>
      </c>
      <c r="C56" s="88">
        <v>4550</v>
      </c>
      <c r="D56" s="93">
        <f t="shared" ca="1" si="50"/>
        <v>74000</v>
      </c>
      <c r="E56" s="93">
        <f t="shared" ca="1" si="50"/>
        <v>64650</v>
      </c>
      <c r="F56" s="93">
        <v>99000</v>
      </c>
      <c r="G56" s="112">
        <v>104000</v>
      </c>
      <c r="H56" s="105">
        <f t="shared" ca="1" si="51"/>
        <v>1.3378378378378379</v>
      </c>
      <c r="I56" s="108">
        <f t="shared" ca="1" si="52"/>
        <v>40560</v>
      </c>
      <c r="J56" s="105">
        <f t="shared" ca="1" si="53"/>
        <v>0.39</v>
      </c>
      <c r="K56" s="108">
        <f t="shared" ca="1" si="54"/>
        <v>41600</v>
      </c>
      <c r="L56" s="105">
        <f t="shared" ca="1" si="55"/>
        <v>0.4</v>
      </c>
      <c r="M56" s="108">
        <f t="shared" ca="1" si="56"/>
        <v>19760</v>
      </c>
      <c r="N56" s="105">
        <f t="shared" ca="1" si="57"/>
        <v>0.19</v>
      </c>
      <c r="O56" s="108">
        <f t="shared" ca="1" si="58"/>
        <v>2080</v>
      </c>
      <c r="P56" s="105">
        <f t="shared" ca="1" si="59"/>
        <v>0.02</v>
      </c>
      <c r="Q56" s="108">
        <f t="shared" ca="1" si="60"/>
        <v>104000</v>
      </c>
    </row>
    <row r="57" spans="1:17" ht="14.1" customHeight="1">
      <c r="A57" s="132">
        <f t="shared" si="61"/>
        <v>28</v>
      </c>
      <c r="B57" s="133" t="s">
        <v>546</v>
      </c>
      <c r="C57" s="132">
        <v>4575</v>
      </c>
      <c r="D57" s="109">
        <f t="shared" ca="1" si="50"/>
        <v>4500</v>
      </c>
      <c r="E57" s="109">
        <v>1645</v>
      </c>
      <c r="F57" s="109">
        <v>4500</v>
      </c>
      <c r="G57" s="110">
        <f t="shared" ca="1" si="50"/>
        <v>5100</v>
      </c>
      <c r="H57" s="114">
        <f t="shared" ca="1" si="51"/>
        <v>1</v>
      </c>
      <c r="I57" s="135">
        <f t="shared" ca="1" si="52"/>
        <v>2193</v>
      </c>
      <c r="J57" s="114">
        <f t="shared" ca="1" si="53"/>
        <v>0.43</v>
      </c>
      <c r="K57" s="135">
        <f t="shared" ca="1" si="54"/>
        <v>2091</v>
      </c>
      <c r="L57" s="114">
        <f t="shared" ca="1" si="55"/>
        <v>0.41</v>
      </c>
      <c r="M57" s="135">
        <f t="shared" ca="1" si="56"/>
        <v>714.00000000000011</v>
      </c>
      <c r="N57" s="114">
        <f t="shared" ca="1" si="57"/>
        <v>0.14000000000000001</v>
      </c>
      <c r="O57" s="135">
        <f t="shared" ca="1" si="58"/>
        <v>102</v>
      </c>
      <c r="P57" s="114">
        <f t="shared" ca="1" si="59"/>
        <v>0.02</v>
      </c>
      <c r="Q57" s="135">
        <f t="shared" ca="1" si="60"/>
        <v>5100</v>
      </c>
    </row>
    <row r="58" spans="1:17" ht="14.1" customHeight="1">
      <c r="A58" s="88">
        <f t="shared" si="61"/>
        <v>29</v>
      </c>
      <c r="B58" s="99" t="s">
        <v>547</v>
      </c>
      <c r="C58" s="88">
        <v>4600</v>
      </c>
      <c r="D58" s="93">
        <f t="shared" ca="1" si="50"/>
        <v>12000</v>
      </c>
      <c r="E58" s="93">
        <f t="shared" ca="1" si="50"/>
        <v>9000</v>
      </c>
      <c r="F58" s="93">
        <v>12500</v>
      </c>
      <c r="G58" s="112">
        <f t="shared" ca="1" si="50"/>
        <v>12500</v>
      </c>
      <c r="H58" s="105">
        <f t="shared" ca="1" si="51"/>
        <v>1.0416666666666667</v>
      </c>
      <c r="I58" s="108">
        <f t="shared" ca="1" si="52"/>
        <v>4875</v>
      </c>
      <c r="J58" s="105">
        <f t="shared" ca="1" si="53"/>
        <v>0.39</v>
      </c>
      <c r="K58" s="108">
        <f t="shared" ca="1" si="54"/>
        <v>5000</v>
      </c>
      <c r="L58" s="105">
        <f t="shared" ca="1" si="55"/>
        <v>0.4</v>
      </c>
      <c r="M58" s="108">
        <f t="shared" ca="1" si="56"/>
        <v>2375</v>
      </c>
      <c r="N58" s="105">
        <f t="shared" ca="1" si="57"/>
        <v>0.19</v>
      </c>
      <c r="O58" s="108">
        <f t="shared" ca="1" si="58"/>
        <v>250</v>
      </c>
      <c r="P58" s="105">
        <f t="shared" ca="1" si="59"/>
        <v>0.02</v>
      </c>
      <c r="Q58" s="108">
        <f t="shared" ca="1" si="60"/>
        <v>12500</v>
      </c>
    </row>
    <row r="59" spans="1:17" ht="14.1" customHeight="1">
      <c r="A59" s="132">
        <f t="shared" si="61"/>
        <v>30</v>
      </c>
      <c r="B59" s="133" t="s">
        <v>548</v>
      </c>
      <c r="C59" s="132">
        <v>4650</v>
      </c>
      <c r="D59" s="109">
        <f t="shared" ca="1" si="50"/>
        <v>22000</v>
      </c>
      <c r="E59" s="109">
        <f t="shared" ca="1" si="50"/>
        <v>7000</v>
      </c>
      <c r="F59" s="109">
        <v>13000</v>
      </c>
      <c r="G59" s="110">
        <f t="shared" ca="1" si="50"/>
        <v>18000</v>
      </c>
      <c r="H59" s="114">
        <f t="shared" ca="1" si="51"/>
        <v>0.59090909090909094</v>
      </c>
      <c r="I59" s="135">
        <f t="shared" ca="1" si="52"/>
        <v>7020</v>
      </c>
      <c r="J59" s="114">
        <f t="shared" ca="1" si="53"/>
        <v>0.39</v>
      </c>
      <c r="K59" s="135">
        <f t="shared" ca="1" si="54"/>
        <v>7200</v>
      </c>
      <c r="L59" s="114">
        <f t="shared" ca="1" si="55"/>
        <v>0.4</v>
      </c>
      <c r="M59" s="135">
        <f t="shared" ca="1" si="56"/>
        <v>3420</v>
      </c>
      <c r="N59" s="114">
        <f t="shared" ca="1" si="57"/>
        <v>0.19</v>
      </c>
      <c r="O59" s="135">
        <f t="shared" ca="1" si="58"/>
        <v>360</v>
      </c>
      <c r="P59" s="114">
        <f t="shared" ca="1" si="59"/>
        <v>0.02</v>
      </c>
      <c r="Q59" s="135">
        <f t="shared" ca="1" si="60"/>
        <v>18000</v>
      </c>
    </row>
    <row r="60" spans="1:17" ht="14.1" customHeight="1" thickBot="1">
      <c r="A60" s="88"/>
      <c r="B60" s="106" t="str">
        <f>"Total "&amp;B52</f>
        <v>Total Salaries &amp; Benefits</v>
      </c>
      <c r="C60" s="90"/>
      <c r="D60" s="101">
        <f ca="1">SUM(D53:D59)</f>
        <v>999100</v>
      </c>
      <c r="E60" s="102"/>
      <c r="F60" s="101">
        <f ca="1">SUM(F53:F59)</f>
        <v>1011930</v>
      </c>
      <c r="G60" s="113">
        <f ca="1">SUM(G53:G59)</f>
        <v>1081600</v>
      </c>
      <c r="H60" s="111">
        <f t="shared" ca="1" si="51"/>
        <v>1.0128415574016616</v>
      </c>
      <c r="I60" s="117">
        <f ca="1">SUM(I53:I59)</f>
        <v>422028</v>
      </c>
      <c r="J60" s="111"/>
      <c r="K60" s="117">
        <f ca="1">SUM(K53:K59)</f>
        <v>432691</v>
      </c>
      <c r="L60" s="111"/>
      <c r="M60" s="117">
        <f ca="1">SUM(M53:M59)</f>
        <v>205249</v>
      </c>
      <c r="N60" s="111"/>
      <c r="O60" s="117">
        <f ca="1">SUM(O53:O59)</f>
        <v>21632</v>
      </c>
      <c r="P60" s="111"/>
      <c r="Q60" s="117">
        <f ca="1">SUM(Q53:Q59)</f>
        <v>1081600</v>
      </c>
    </row>
    <row r="61" spans="1:17" ht="14.1" customHeight="1" thickTop="1">
      <c r="A61" s="88"/>
      <c r="B61" s="91" t="s">
        <v>514</v>
      </c>
      <c r="C61" s="88"/>
      <c r="G61" s="112"/>
      <c r="I61" s="108"/>
      <c r="K61" s="108"/>
      <c r="M61" s="108"/>
      <c r="O61" s="108"/>
      <c r="Q61" s="108"/>
    </row>
    <row r="62" spans="1:17" ht="14.1" customHeight="1">
      <c r="A62" s="88"/>
      <c r="B62" s="98" t="s">
        <v>549</v>
      </c>
      <c r="C62" s="88"/>
      <c r="G62" s="112"/>
      <c r="I62" s="108"/>
      <c r="K62" s="108"/>
      <c r="M62" s="108"/>
      <c r="O62" s="108"/>
      <c r="Q62" s="108"/>
    </row>
    <row r="63" spans="1:17" ht="14.1" customHeight="1">
      <c r="A63" s="88">
        <f>A59+1</f>
        <v>31</v>
      </c>
      <c r="B63" s="99" t="s">
        <v>550</v>
      </c>
      <c r="C63" s="88">
        <v>5010</v>
      </c>
      <c r="D63" s="93">
        <f t="shared" ref="D63:G86" ca="1" si="62">INDIRECT("'"&amp;$A63&amp;"'!"&amp;D$5)</f>
        <v>9000</v>
      </c>
      <c r="E63" s="93">
        <f t="shared" ca="1" si="62"/>
        <v>3000</v>
      </c>
      <c r="F63" s="93">
        <f t="shared" ca="1" si="62"/>
        <v>7000</v>
      </c>
      <c r="G63" s="112">
        <f t="shared" ca="1" si="62"/>
        <v>10000</v>
      </c>
      <c r="H63" s="105">
        <f t="shared" ref="H63:H87" ca="1" si="63">F63/D63</f>
        <v>0.77777777777777779</v>
      </c>
      <c r="I63" s="108">
        <f t="shared" ref="I63:I86" ca="1" si="64">G63*J63</f>
        <v>3900</v>
      </c>
      <c r="J63" s="105">
        <f t="shared" ref="J63:J86" ca="1" si="65">INDIRECT("'"&amp;$A63&amp;"'!"&amp;J$5)</f>
        <v>0.39</v>
      </c>
      <c r="K63" s="108">
        <f t="shared" ref="K63:K86" ca="1" si="66">G63*L63</f>
        <v>4000</v>
      </c>
      <c r="L63" s="105">
        <f t="shared" ref="L63:L86" ca="1" si="67">INDIRECT("'"&amp;$A63&amp;"'!"&amp;L$5)</f>
        <v>0.4</v>
      </c>
      <c r="M63" s="108">
        <f t="shared" ref="M63:M86" ca="1" si="68">G63*N63</f>
        <v>1900</v>
      </c>
      <c r="N63" s="105">
        <f t="shared" ref="N63:N86" ca="1" si="69">INDIRECT("'"&amp;$A63&amp;"'!"&amp;N$5)</f>
        <v>0.19</v>
      </c>
      <c r="O63" s="108">
        <f t="shared" ref="O63:O86" ca="1" si="70">G63*P63</f>
        <v>200</v>
      </c>
      <c r="P63" s="105">
        <f t="shared" ref="P63:P86" ca="1" si="71">INDIRECT("'"&amp;$A63&amp;"'!"&amp;P$5)</f>
        <v>0.02</v>
      </c>
      <c r="Q63" s="108">
        <f t="shared" ref="Q63:Q86" ca="1" si="72">I63+K63+M63+O63</f>
        <v>10000</v>
      </c>
    </row>
    <row r="64" spans="1:17" ht="14.1" customHeight="1">
      <c r="A64" s="132">
        <f>A63+1</f>
        <v>32</v>
      </c>
      <c r="B64" s="133" t="s">
        <v>551</v>
      </c>
      <c r="C64" s="132">
        <v>5020</v>
      </c>
      <c r="D64" s="109">
        <f t="shared" ca="1" si="62"/>
        <v>2000</v>
      </c>
      <c r="E64" s="109">
        <f t="shared" ca="1" si="62"/>
        <v>900</v>
      </c>
      <c r="F64" s="109">
        <f t="shared" ca="1" si="62"/>
        <v>2000</v>
      </c>
      <c r="G64" s="110">
        <f t="shared" ca="1" si="62"/>
        <v>3000</v>
      </c>
      <c r="H64" s="114">
        <f t="shared" ca="1" si="63"/>
        <v>1</v>
      </c>
      <c r="I64" s="135">
        <f t="shared" ca="1" si="64"/>
        <v>1170</v>
      </c>
      <c r="J64" s="114">
        <f t="shared" ca="1" si="65"/>
        <v>0.39</v>
      </c>
      <c r="K64" s="135">
        <f t="shared" ca="1" si="66"/>
        <v>1200</v>
      </c>
      <c r="L64" s="114">
        <f t="shared" ca="1" si="67"/>
        <v>0.4</v>
      </c>
      <c r="M64" s="135">
        <f t="shared" ca="1" si="68"/>
        <v>570</v>
      </c>
      <c r="N64" s="114">
        <f t="shared" ca="1" si="69"/>
        <v>0.19</v>
      </c>
      <c r="O64" s="135">
        <f t="shared" ca="1" si="70"/>
        <v>60</v>
      </c>
      <c r="P64" s="114">
        <f t="shared" ca="1" si="71"/>
        <v>0.02</v>
      </c>
      <c r="Q64" s="135">
        <f t="shared" ca="1" si="72"/>
        <v>3000</v>
      </c>
    </row>
    <row r="65" spans="1:17" ht="14.1" customHeight="1">
      <c r="A65" s="88">
        <f t="shared" ref="A65:A86" si="73">A64+1</f>
        <v>33</v>
      </c>
      <c r="B65" s="99" t="s">
        <v>552</v>
      </c>
      <c r="C65" s="88">
        <v>5030</v>
      </c>
      <c r="D65" s="93">
        <f t="shared" ca="1" si="62"/>
        <v>1000</v>
      </c>
      <c r="E65" s="93">
        <v>60</v>
      </c>
      <c r="F65" s="93">
        <f t="shared" ca="1" si="62"/>
        <v>1000</v>
      </c>
      <c r="G65" s="112">
        <f t="shared" ca="1" si="62"/>
        <v>2000</v>
      </c>
      <c r="H65" s="105">
        <f t="shared" ca="1" si="63"/>
        <v>1</v>
      </c>
      <c r="I65" s="108">
        <f t="shared" ca="1" si="64"/>
        <v>780</v>
      </c>
      <c r="J65" s="105">
        <f t="shared" ca="1" si="65"/>
        <v>0.39</v>
      </c>
      <c r="K65" s="108">
        <f t="shared" ca="1" si="66"/>
        <v>800</v>
      </c>
      <c r="L65" s="105">
        <f t="shared" ca="1" si="67"/>
        <v>0.4</v>
      </c>
      <c r="M65" s="108">
        <f t="shared" ca="1" si="68"/>
        <v>380</v>
      </c>
      <c r="N65" s="105">
        <f t="shared" ca="1" si="69"/>
        <v>0.19</v>
      </c>
      <c r="O65" s="108">
        <f t="shared" ca="1" si="70"/>
        <v>40</v>
      </c>
      <c r="P65" s="105">
        <f t="shared" ca="1" si="71"/>
        <v>0.02</v>
      </c>
      <c r="Q65" s="108">
        <f t="shared" ca="1" si="72"/>
        <v>2000</v>
      </c>
    </row>
    <row r="66" spans="1:17" ht="14.1" customHeight="1">
      <c r="A66" s="132">
        <f t="shared" si="73"/>
        <v>34</v>
      </c>
      <c r="B66" s="133" t="s">
        <v>553</v>
      </c>
      <c r="C66" s="132">
        <v>5040</v>
      </c>
      <c r="D66" s="109">
        <f t="shared" ca="1" si="62"/>
        <v>5000</v>
      </c>
      <c r="E66" s="109">
        <f t="shared" ca="1" si="62"/>
        <v>0</v>
      </c>
      <c r="F66" s="109">
        <f t="shared" ca="1" si="62"/>
        <v>1000</v>
      </c>
      <c r="G66" s="110">
        <f t="shared" ca="1" si="62"/>
        <v>5000</v>
      </c>
      <c r="H66" s="114">
        <f t="shared" ca="1" si="63"/>
        <v>0.2</v>
      </c>
      <c r="I66" s="135">
        <f t="shared" ca="1" si="64"/>
        <v>1950</v>
      </c>
      <c r="J66" s="114">
        <f t="shared" ca="1" si="65"/>
        <v>0.39</v>
      </c>
      <c r="K66" s="135">
        <f t="shared" ca="1" si="66"/>
        <v>2000</v>
      </c>
      <c r="L66" s="114">
        <f t="shared" ca="1" si="67"/>
        <v>0.4</v>
      </c>
      <c r="M66" s="135">
        <f t="shared" ca="1" si="68"/>
        <v>950</v>
      </c>
      <c r="N66" s="114">
        <f t="shared" ca="1" si="69"/>
        <v>0.19</v>
      </c>
      <c r="O66" s="135">
        <f t="shared" ca="1" si="70"/>
        <v>100</v>
      </c>
      <c r="P66" s="114">
        <f t="shared" ca="1" si="71"/>
        <v>0.02</v>
      </c>
      <c r="Q66" s="135">
        <f t="shared" ca="1" si="72"/>
        <v>5000</v>
      </c>
    </row>
    <row r="67" spans="1:17" ht="14.1" customHeight="1">
      <c r="A67" s="88">
        <f t="shared" si="73"/>
        <v>35</v>
      </c>
      <c r="B67" s="99" t="s">
        <v>554</v>
      </c>
      <c r="C67" s="88">
        <v>5050</v>
      </c>
      <c r="D67" s="93">
        <f t="shared" ca="1" si="62"/>
        <v>8500</v>
      </c>
      <c r="E67" s="93">
        <f t="shared" ca="1" si="62"/>
        <v>0</v>
      </c>
      <c r="F67" s="93">
        <f t="shared" ca="1" si="62"/>
        <v>1000</v>
      </c>
      <c r="G67" s="112">
        <f t="shared" ca="1" si="62"/>
        <v>8500</v>
      </c>
      <c r="H67" s="105">
        <f t="shared" ca="1" si="63"/>
        <v>0.11764705882352941</v>
      </c>
      <c r="I67" s="108">
        <f t="shared" ca="1" si="64"/>
        <v>3315</v>
      </c>
      <c r="J67" s="105">
        <f t="shared" ca="1" si="65"/>
        <v>0.39</v>
      </c>
      <c r="K67" s="108">
        <f t="shared" ca="1" si="66"/>
        <v>3400</v>
      </c>
      <c r="L67" s="105">
        <f t="shared" ca="1" si="67"/>
        <v>0.4</v>
      </c>
      <c r="M67" s="108">
        <f t="shared" ca="1" si="68"/>
        <v>1615</v>
      </c>
      <c r="N67" s="105">
        <f t="shared" ca="1" si="69"/>
        <v>0.19</v>
      </c>
      <c r="O67" s="108">
        <f t="shared" ca="1" si="70"/>
        <v>170</v>
      </c>
      <c r="P67" s="105">
        <f t="shared" ca="1" si="71"/>
        <v>0.02</v>
      </c>
      <c r="Q67" s="108">
        <f t="shared" ca="1" si="72"/>
        <v>8500</v>
      </c>
    </row>
    <row r="68" spans="1:17" ht="14.1" customHeight="1">
      <c r="A68" s="132">
        <f t="shared" si="73"/>
        <v>36</v>
      </c>
      <c r="B68" s="133" t="s">
        <v>555</v>
      </c>
      <c r="C68" s="132">
        <v>5100</v>
      </c>
      <c r="D68" s="109">
        <f t="shared" ca="1" si="62"/>
        <v>24000</v>
      </c>
      <c r="E68" s="109">
        <f t="shared" ca="1" si="62"/>
        <v>24336</v>
      </c>
      <c r="F68" s="109">
        <f t="shared" ca="1" si="62"/>
        <v>24500</v>
      </c>
      <c r="G68" s="110">
        <f t="shared" ca="1" si="62"/>
        <v>25000</v>
      </c>
      <c r="H68" s="114">
        <f t="shared" ca="1" si="63"/>
        <v>1.0208333333333333</v>
      </c>
      <c r="I68" s="135">
        <f t="shared" ca="1" si="64"/>
        <v>9464.7674652707883</v>
      </c>
      <c r="J68" s="114">
        <f t="shared" ca="1" si="65"/>
        <v>0.37859069861083156</v>
      </c>
      <c r="K68" s="135">
        <f t="shared" ca="1" si="66"/>
        <v>10040.366418361184</v>
      </c>
      <c r="L68" s="114">
        <f t="shared" ca="1" si="67"/>
        <v>0.40161465673444735</v>
      </c>
      <c r="M68" s="135">
        <f t="shared" ca="1" si="68"/>
        <v>5277.2297161264351</v>
      </c>
      <c r="N68" s="114">
        <f t="shared" ca="1" si="69"/>
        <v>0.21108918864505741</v>
      </c>
      <c r="O68" s="135">
        <f t="shared" ca="1" si="70"/>
        <v>217.63640024159454</v>
      </c>
      <c r="P68" s="114">
        <f t="shared" ca="1" si="71"/>
        <v>8.7054560096637822E-3</v>
      </c>
      <c r="Q68" s="135">
        <f t="shared" ca="1" si="72"/>
        <v>25000</v>
      </c>
    </row>
    <row r="69" spans="1:17" ht="14.1" customHeight="1">
      <c r="A69" s="88">
        <f t="shared" si="73"/>
        <v>37</v>
      </c>
      <c r="B69" s="99" t="s">
        <v>556</v>
      </c>
      <c r="C69" s="88">
        <v>5210</v>
      </c>
      <c r="D69" s="93">
        <f t="shared" ca="1" si="62"/>
        <v>8000</v>
      </c>
      <c r="E69" s="93">
        <v>1447</v>
      </c>
      <c r="F69" s="93">
        <f t="shared" ca="1" si="62"/>
        <v>7500</v>
      </c>
      <c r="G69" s="112">
        <f t="shared" ca="1" si="62"/>
        <v>8000</v>
      </c>
      <c r="H69" s="105">
        <f t="shared" ca="1" si="63"/>
        <v>0.9375</v>
      </c>
      <c r="I69" s="108">
        <f t="shared" ca="1" si="64"/>
        <v>2640</v>
      </c>
      <c r="J69" s="105">
        <f t="shared" ca="1" si="65"/>
        <v>0.33</v>
      </c>
      <c r="K69" s="108">
        <f t="shared" ca="1" si="66"/>
        <v>2720</v>
      </c>
      <c r="L69" s="105">
        <f t="shared" ca="1" si="67"/>
        <v>0.34</v>
      </c>
      <c r="M69" s="108">
        <f t="shared" ca="1" si="68"/>
        <v>2640</v>
      </c>
      <c r="N69" s="105">
        <f t="shared" ca="1" si="69"/>
        <v>0.33</v>
      </c>
      <c r="O69" s="108">
        <f t="shared" ca="1" si="70"/>
        <v>0</v>
      </c>
      <c r="P69" s="105">
        <f t="shared" ca="1" si="71"/>
        <v>0</v>
      </c>
      <c r="Q69" s="108">
        <f t="shared" ca="1" si="72"/>
        <v>8000</v>
      </c>
    </row>
    <row r="70" spans="1:17" ht="14.1" customHeight="1">
      <c r="A70" s="132">
        <f t="shared" si="73"/>
        <v>38</v>
      </c>
      <c r="B70" s="133" t="s">
        <v>557</v>
      </c>
      <c r="C70" s="132">
        <v>5215</v>
      </c>
      <c r="D70" s="109">
        <f t="shared" ca="1" si="62"/>
        <v>6000</v>
      </c>
      <c r="E70" s="109">
        <v>2241</v>
      </c>
      <c r="F70" s="109">
        <f t="shared" ca="1" si="62"/>
        <v>5000</v>
      </c>
      <c r="G70" s="110">
        <f t="shared" ca="1" si="62"/>
        <v>6000</v>
      </c>
      <c r="H70" s="114">
        <f t="shared" ca="1" si="63"/>
        <v>0.83333333333333337</v>
      </c>
      <c r="I70" s="135">
        <f t="shared" ca="1" si="64"/>
        <v>2460</v>
      </c>
      <c r="J70" s="114">
        <f t="shared" ca="1" si="65"/>
        <v>0.41</v>
      </c>
      <c r="K70" s="135">
        <f t="shared" ca="1" si="66"/>
        <v>2640</v>
      </c>
      <c r="L70" s="114">
        <f t="shared" ca="1" si="67"/>
        <v>0.44</v>
      </c>
      <c r="M70" s="135">
        <f t="shared" ca="1" si="68"/>
        <v>900</v>
      </c>
      <c r="N70" s="114">
        <f t="shared" ca="1" si="69"/>
        <v>0.15</v>
      </c>
      <c r="O70" s="135">
        <f t="shared" ca="1" si="70"/>
        <v>0</v>
      </c>
      <c r="P70" s="114">
        <f t="shared" ca="1" si="71"/>
        <v>0</v>
      </c>
      <c r="Q70" s="135">
        <f t="shared" ca="1" si="72"/>
        <v>6000</v>
      </c>
    </row>
    <row r="71" spans="1:17" ht="14.1" customHeight="1">
      <c r="A71" s="88">
        <f t="shared" si="73"/>
        <v>39</v>
      </c>
      <c r="B71" s="99" t="s">
        <v>558</v>
      </c>
      <c r="C71" s="88">
        <v>5220</v>
      </c>
      <c r="D71" s="93">
        <f t="shared" ca="1" si="62"/>
        <v>17000</v>
      </c>
      <c r="E71" s="93">
        <v>11654</v>
      </c>
      <c r="F71" s="93">
        <f t="shared" ca="1" si="62"/>
        <v>15750</v>
      </c>
      <c r="G71" s="112">
        <f t="shared" ca="1" si="62"/>
        <v>23000</v>
      </c>
      <c r="H71" s="105">
        <f t="shared" ca="1" si="63"/>
        <v>0.92647058823529416</v>
      </c>
      <c r="I71" s="108">
        <f t="shared" ca="1" si="64"/>
        <v>7590</v>
      </c>
      <c r="J71" s="105">
        <f t="shared" ca="1" si="65"/>
        <v>0.33</v>
      </c>
      <c r="K71" s="108">
        <f t="shared" ca="1" si="66"/>
        <v>7820.0000000000009</v>
      </c>
      <c r="L71" s="105">
        <f t="shared" ca="1" si="67"/>
        <v>0.34</v>
      </c>
      <c r="M71" s="108">
        <f t="shared" ca="1" si="68"/>
        <v>7590</v>
      </c>
      <c r="N71" s="105">
        <f t="shared" ca="1" si="69"/>
        <v>0.33</v>
      </c>
      <c r="O71" s="108">
        <f t="shared" ca="1" si="70"/>
        <v>0</v>
      </c>
      <c r="P71" s="105">
        <f t="shared" ca="1" si="71"/>
        <v>0</v>
      </c>
      <c r="Q71" s="108">
        <f t="shared" ca="1" si="72"/>
        <v>23000</v>
      </c>
    </row>
    <row r="72" spans="1:17" ht="14.1" customHeight="1">
      <c r="A72" s="132">
        <f t="shared" si="73"/>
        <v>40</v>
      </c>
      <c r="B72" s="133" t="s">
        <v>559</v>
      </c>
      <c r="C72" s="132">
        <v>5230</v>
      </c>
      <c r="D72" s="109">
        <f t="shared" ca="1" si="62"/>
        <v>6000</v>
      </c>
      <c r="E72" s="109">
        <v>0</v>
      </c>
      <c r="F72" s="109">
        <v>6000</v>
      </c>
      <c r="G72" s="110">
        <f t="shared" ca="1" si="62"/>
        <v>6000</v>
      </c>
      <c r="H72" s="114">
        <f t="shared" ca="1" si="63"/>
        <v>1</v>
      </c>
      <c r="I72" s="135">
        <f t="shared" ca="1" si="64"/>
        <v>1980</v>
      </c>
      <c r="J72" s="114">
        <f t="shared" ca="1" si="65"/>
        <v>0.33</v>
      </c>
      <c r="K72" s="135">
        <f t="shared" ca="1" si="66"/>
        <v>2040.0000000000002</v>
      </c>
      <c r="L72" s="114">
        <f t="shared" ca="1" si="67"/>
        <v>0.34</v>
      </c>
      <c r="M72" s="135">
        <f t="shared" ca="1" si="68"/>
        <v>1980</v>
      </c>
      <c r="N72" s="114">
        <f t="shared" ca="1" si="69"/>
        <v>0.33</v>
      </c>
      <c r="O72" s="135">
        <f t="shared" ca="1" si="70"/>
        <v>0</v>
      </c>
      <c r="P72" s="114">
        <f t="shared" ca="1" si="71"/>
        <v>0</v>
      </c>
      <c r="Q72" s="135">
        <f t="shared" ca="1" si="72"/>
        <v>6000</v>
      </c>
    </row>
    <row r="73" spans="1:17" ht="14.1" customHeight="1">
      <c r="A73" s="88">
        <f t="shared" si="73"/>
        <v>41</v>
      </c>
      <c r="B73" s="99" t="s">
        <v>560</v>
      </c>
      <c r="C73" s="88">
        <v>5240</v>
      </c>
      <c r="D73" s="93">
        <f t="shared" ca="1" si="62"/>
        <v>12000</v>
      </c>
      <c r="E73" s="93">
        <v>8500</v>
      </c>
      <c r="F73" s="93">
        <f t="shared" ca="1" si="62"/>
        <v>11000</v>
      </c>
      <c r="G73" s="112">
        <f t="shared" ca="1" si="62"/>
        <v>12000</v>
      </c>
      <c r="H73" s="105">
        <f t="shared" ca="1" si="63"/>
        <v>0.91666666666666663</v>
      </c>
      <c r="I73" s="108">
        <f t="shared" ca="1" si="64"/>
        <v>3960</v>
      </c>
      <c r="J73" s="105">
        <f t="shared" ca="1" si="65"/>
        <v>0.33</v>
      </c>
      <c r="K73" s="108">
        <f t="shared" ca="1" si="66"/>
        <v>4080.0000000000005</v>
      </c>
      <c r="L73" s="105">
        <f t="shared" ca="1" si="67"/>
        <v>0.34</v>
      </c>
      <c r="M73" s="108">
        <f t="shared" ca="1" si="68"/>
        <v>3960</v>
      </c>
      <c r="N73" s="105">
        <f t="shared" ca="1" si="69"/>
        <v>0.33</v>
      </c>
      <c r="O73" s="108">
        <f t="shared" ca="1" si="70"/>
        <v>0</v>
      </c>
      <c r="P73" s="105">
        <f t="shared" ca="1" si="71"/>
        <v>0</v>
      </c>
      <c r="Q73" s="108">
        <f t="shared" ca="1" si="72"/>
        <v>12000</v>
      </c>
    </row>
    <row r="74" spans="1:17" ht="14.1" customHeight="1">
      <c r="A74" s="132">
        <f t="shared" si="73"/>
        <v>42</v>
      </c>
      <c r="B74" s="133" t="s">
        <v>561</v>
      </c>
      <c r="C74" s="132">
        <v>5250</v>
      </c>
      <c r="D74" s="109">
        <f t="shared" ca="1" si="62"/>
        <v>14700</v>
      </c>
      <c r="E74" s="109">
        <v>7000</v>
      </c>
      <c r="F74" s="109">
        <f t="shared" ca="1" si="62"/>
        <v>13700</v>
      </c>
      <c r="G74" s="110">
        <f t="shared" ca="1" si="62"/>
        <v>15500</v>
      </c>
      <c r="H74" s="114">
        <f t="shared" ca="1" si="63"/>
        <v>0.93197278911564629</v>
      </c>
      <c r="I74" s="135">
        <f t="shared" ca="1" si="64"/>
        <v>6295</v>
      </c>
      <c r="J74" s="114">
        <f t="shared" ca="1" si="65"/>
        <v>0.40612903225806452</v>
      </c>
      <c r="K74" s="135">
        <f t="shared" ca="1" si="66"/>
        <v>6700</v>
      </c>
      <c r="L74" s="114">
        <f t="shared" ca="1" si="67"/>
        <v>0.43225806451612903</v>
      </c>
      <c r="M74" s="135">
        <f t="shared" ca="1" si="68"/>
        <v>2445</v>
      </c>
      <c r="N74" s="114">
        <f t="shared" ca="1" si="69"/>
        <v>0.15774193548387097</v>
      </c>
      <c r="O74" s="135">
        <f t="shared" ca="1" si="70"/>
        <v>60</v>
      </c>
      <c r="P74" s="114">
        <f t="shared" ca="1" si="71"/>
        <v>3.8709677419354839E-3</v>
      </c>
      <c r="Q74" s="135">
        <f t="shared" ca="1" si="72"/>
        <v>15500</v>
      </c>
    </row>
    <row r="75" spans="1:17" ht="14.1" customHeight="1">
      <c r="A75" s="88">
        <f t="shared" si="73"/>
        <v>43</v>
      </c>
      <c r="B75" s="99" t="s">
        <v>562</v>
      </c>
      <c r="C75" s="88">
        <v>5260</v>
      </c>
      <c r="D75" s="93">
        <f t="shared" ca="1" si="62"/>
        <v>3800</v>
      </c>
      <c r="E75" s="93">
        <v>2200</v>
      </c>
      <c r="F75" s="93">
        <f t="shared" ca="1" si="62"/>
        <v>3500</v>
      </c>
      <c r="G75" s="112">
        <f t="shared" ca="1" si="62"/>
        <v>3800</v>
      </c>
      <c r="H75" s="105">
        <f t="shared" ca="1" si="63"/>
        <v>0.92105263157894735</v>
      </c>
      <c r="I75" s="108">
        <f t="shared" ca="1" si="64"/>
        <v>1254</v>
      </c>
      <c r="J75" s="105">
        <f t="shared" ca="1" si="65"/>
        <v>0.33</v>
      </c>
      <c r="K75" s="108">
        <f t="shared" ca="1" si="66"/>
        <v>1292</v>
      </c>
      <c r="L75" s="105">
        <f t="shared" ca="1" si="67"/>
        <v>0.34</v>
      </c>
      <c r="M75" s="108">
        <f t="shared" ca="1" si="68"/>
        <v>1254</v>
      </c>
      <c r="N75" s="105">
        <f t="shared" ca="1" si="69"/>
        <v>0.33</v>
      </c>
      <c r="O75" s="108">
        <f t="shared" ca="1" si="70"/>
        <v>0</v>
      </c>
      <c r="P75" s="105">
        <f t="shared" ca="1" si="71"/>
        <v>0</v>
      </c>
      <c r="Q75" s="108">
        <f t="shared" ca="1" si="72"/>
        <v>3800</v>
      </c>
    </row>
    <row r="76" spans="1:17" ht="14.1" customHeight="1">
      <c r="A76" s="132">
        <f t="shared" si="73"/>
        <v>44</v>
      </c>
      <c r="B76" s="133" t="s">
        <v>563</v>
      </c>
      <c r="C76" s="132">
        <v>5290</v>
      </c>
      <c r="D76" s="109">
        <f t="shared" ca="1" si="62"/>
        <v>9000</v>
      </c>
      <c r="E76" s="109">
        <v>3200</v>
      </c>
      <c r="F76" s="109">
        <f t="shared" ca="1" si="62"/>
        <v>5700</v>
      </c>
      <c r="G76" s="110">
        <f t="shared" ca="1" si="62"/>
        <v>7000</v>
      </c>
      <c r="H76" s="114">
        <f t="shared" ca="1" si="63"/>
        <v>0.6333333333333333</v>
      </c>
      <c r="I76" s="135">
        <f t="shared" ca="1" si="64"/>
        <v>2310</v>
      </c>
      <c r="J76" s="114">
        <f t="shared" ca="1" si="65"/>
        <v>0.33</v>
      </c>
      <c r="K76" s="135">
        <f t="shared" ca="1" si="66"/>
        <v>2380</v>
      </c>
      <c r="L76" s="114">
        <f t="shared" ca="1" si="67"/>
        <v>0.34</v>
      </c>
      <c r="M76" s="135">
        <f t="shared" ca="1" si="68"/>
        <v>2310</v>
      </c>
      <c r="N76" s="114">
        <f t="shared" ca="1" si="69"/>
        <v>0.33</v>
      </c>
      <c r="O76" s="135">
        <f t="shared" ca="1" si="70"/>
        <v>0</v>
      </c>
      <c r="P76" s="114">
        <f t="shared" ca="1" si="71"/>
        <v>0</v>
      </c>
      <c r="Q76" s="135">
        <f t="shared" ca="1" si="72"/>
        <v>7000</v>
      </c>
    </row>
    <row r="77" spans="1:17" ht="14.1" customHeight="1">
      <c r="A77" s="88">
        <f t="shared" si="73"/>
        <v>45</v>
      </c>
      <c r="B77" s="99" t="s">
        <v>564</v>
      </c>
      <c r="C77" s="88">
        <v>5295</v>
      </c>
      <c r="D77" s="93">
        <f t="shared" ca="1" si="62"/>
        <v>8000</v>
      </c>
      <c r="E77" s="93">
        <v>0</v>
      </c>
      <c r="F77" s="93">
        <f t="shared" ca="1" si="62"/>
        <v>3000</v>
      </c>
      <c r="G77" s="112">
        <f t="shared" ca="1" si="62"/>
        <v>8000</v>
      </c>
      <c r="H77" s="105">
        <f t="shared" ca="1" si="63"/>
        <v>0.375</v>
      </c>
      <c r="I77" s="108">
        <f t="shared" ca="1" si="64"/>
        <v>2640</v>
      </c>
      <c r="J77" s="105">
        <f t="shared" ca="1" si="65"/>
        <v>0.33</v>
      </c>
      <c r="K77" s="108">
        <f t="shared" ca="1" si="66"/>
        <v>2720.0000000000005</v>
      </c>
      <c r="L77" s="105">
        <f t="shared" ca="1" si="67"/>
        <v>0.34000000000000008</v>
      </c>
      <c r="M77" s="108">
        <f t="shared" ca="1" si="68"/>
        <v>2640</v>
      </c>
      <c r="N77" s="105">
        <f t="shared" ca="1" si="69"/>
        <v>0.33</v>
      </c>
      <c r="O77" s="108">
        <f t="shared" ca="1" si="70"/>
        <v>0</v>
      </c>
      <c r="P77" s="105">
        <f t="shared" ca="1" si="71"/>
        <v>0</v>
      </c>
      <c r="Q77" s="108">
        <f t="shared" ca="1" si="72"/>
        <v>8000</v>
      </c>
    </row>
    <row r="78" spans="1:17" ht="14.1" customHeight="1">
      <c r="A78" s="132">
        <f t="shared" si="73"/>
        <v>46</v>
      </c>
      <c r="B78" s="133" t="s">
        <v>340</v>
      </c>
      <c r="C78" s="132">
        <v>5400</v>
      </c>
      <c r="D78" s="109">
        <f t="shared" ca="1" si="62"/>
        <v>39000</v>
      </c>
      <c r="E78" s="109">
        <v>31000</v>
      </c>
      <c r="F78" s="109">
        <f t="shared" ca="1" si="62"/>
        <v>36900</v>
      </c>
      <c r="G78" s="110">
        <f t="shared" ca="1" si="62"/>
        <v>41000</v>
      </c>
      <c r="H78" s="114">
        <f t="shared" ca="1" si="63"/>
        <v>0.94615384615384612</v>
      </c>
      <c r="I78" s="135">
        <f t="shared" ca="1" si="64"/>
        <v>16810</v>
      </c>
      <c r="J78" s="114">
        <f t="shared" ca="1" si="65"/>
        <v>0.41</v>
      </c>
      <c r="K78" s="135">
        <f t="shared" ca="1" si="66"/>
        <v>18040</v>
      </c>
      <c r="L78" s="114">
        <f t="shared" ca="1" si="67"/>
        <v>0.44</v>
      </c>
      <c r="M78" s="135">
        <f t="shared" ca="1" si="68"/>
        <v>6150</v>
      </c>
      <c r="N78" s="114">
        <f t="shared" ca="1" si="69"/>
        <v>0.15</v>
      </c>
      <c r="O78" s="135">
        <f t="shared" ca="1" si="70"/>
        <v>0</v>
      </c>
      <c r="P78" s="114">
        <f t="shared" ca="1" si="71"/>
        <v>0</v>
      </c>
      <c r="Q78" s="135">
        <f t="shared" ca="1" si="72"/>
        <v>41000</v>
      </c>
    </row>
    <row r="79" spans="1:17" ht="14.1" customHeight="1">
      <c r="A79" s="88">
        <f t="shared" si="73"/>
        <v>47</v>
      </c>
      <c r="B79" s="99" t="s">
        <v>565</v>
      </c>
      <c r="C79" s="88">
        <v>5510</v>
      </c>
      <c r="D79" s="93">
        <f t="shared" ca="1" si="62"/>
        <v>60000</v>
      </c>
      <c r="E79" s="93">
        <v>12000</v>
      </c>
      <c r="F79" s="93">
        <f t="shared" ca="1" si="62"/>
        <v>40000</v>
      </c>
      <c r="G79" s="112">
        <f t="shared" ca="1" si="62"/>
        <v>60000</v>
      </c>
      <c r="H79" s="105">
        <f t="shared" ca="1" si="63"/>
        <v>0.66666666666666663</v>
      </c>
      <c r="I79" s="108">
        <f t="shared" ca="1" si="64"/>
        <v>36400</v>
      </c>
      <c r="J79" s="105">
        <f t="shared" ca="1" si="65"/>
        <v>0.60666666666666669</v>
      </c>
      <c r="K79" s="108">
        <f t="shared" ca="1" si="66"/>
        <v>17600</v>
      </c>
      <c r="L79" s="105">
        <f t="shared" ca="1" si="67"/>
        <v>0.29333333333333333</v>
      </c>
      <c r="M79" s="108">
        <f t="shared" ca="1" si="68"/>
        <v>6000</v>
      </c>
      <c r="N79" s="105">
        <f t="shared" ca="1" si="69"/>
        <v>0.1</v>
      </c>
      <c r="O79" s="108">
        <f t="shared" ca="1" si="70"/>
        <v>0</v>
      </c>
      <c r="P79" s="105">
        <f t="shared" ca="1" si="71"/>
        <v>0</v>
      </c>
      <c r="Q79" s="108">
        <f t="shared" ca="1" si="72"/>
        <v>60000</v>
      </c>
    </row>
    <row r="80" spans="1:17" ht="14.1" customHeight="1">
      <c r="A80" s="132">
        <f t="shared" si="73"/>
        <v>48</v>
      </c>
      <c r="B80" s="133" t="s">
        <v>566</v>
      </c>
      <c r="C80" s="132">
        <v>5520</v>
      </c>
      <c r="D80" s="109">
        <f t="shared" ca="1" si="62"/>
        <v>51000</v>
      </c>
      <c r="E80" s="109">
        <v>20000</v>
      </c>
      <c r="F80" s="109">
        <f t="shared" ca="1" si="62"/>
        <v>49000</v>
      </c>
      <c r="G80" s="110">
        <f t="shared" ca="1" si="62"/>
        <v>50000</v>
      </c>
      <c r="H80" s="114">
        <f t="shared" ca="1" si="63"/>
        <v>0.96078431372549022</v>
      </c>
      <c r="I80" s="135">
        <f t="shared" ca="1" si="64"/>
        <v>20500</v>
      </c>
      <c r="J80" s="114">
        <f t="shared" ca="1" si="65"/>
        <v>0.41</v>
      </c>
      <c r="K80" s="135">
        <f t="shared" ca="1" si="66"/>
        <v>22000</v>
      </c>
      <c r="L80" s="114">
        <f t="shared" ca="1" si="67"/>
        <v>0.44</v>
      </c>
      <c r="M80" s="135">
        <f t="shared" ca="1" si="68"/>
        <v>7500</v>
      </c>
      <c r="N80" s="114">
        <f t="shared" ca="1" si="69"/>
        <v>0.15</v>
      </c>
      <c r="O80" s="135">
        <f t="shared" ca="1" si="70"/>
        <v>0</v>
      </c>
      <c r="P80" s="114">
        <f t="shared" ca="1" si="71"/>
        <v>0</v>
      </c>
      <c r="Q80" s="135">
        <f t="shared" ca="1" si="72"/>
        <v>50000</v>
      </c>
    </row>
    <row r="81" spans="1:255" ht="14.1" customHeight="1">
      <c r="A81" s="88">
        <f t="shared" si="73"/>
        <v>49</v>
      </c>
      <c r="B81" s="99" t="s">
        <v>567</v>
      </c>
      <c r="C81" s="88">
        <v>5530</v>
      </c>
      <c r="D81" s="93">
        <f t="shared" ca="1" si="62"/>
        <v>52000</v>
      </c>
      <c r="E81" s="93">
        <v>18300</v>
      </c>
      <c r="F81" s="93">
        <f t="shared" ca="1" si="62"/>
        <v>26000</v>
      </c>
      <c r="G81" s="112">
        <f t="shared" ca="1" si="62"/>
        <v>46000</v>
      </c>
      <c r="H81" s="105">
        <f t="shared" ca="1" si="63"/>
        <v>0.5</v>
      </c>
      <c r="I81" s="108">
        <f t="shared" ca="1" si="64"/>
        <v>18860</v>
      </c>
      <c r="J81" s="105">
        <f t="shared" ca="1" si="65"/>
        <v>0.41</v>
      </c>
      <c r="K81" s="108">
        <f t="shared" ca="1" si="66"/>
        <v>20240</v>
      </c>
      <c r="L81" s="105">
        <f t="shared" ca="1" si="67"/>
        <v>0.44</v>
      </c>
      <c r="M81" s="108">
        <f t="shared" ca="1" si="68"/>
        <v>6900</v>
      </c>
      <c r="N81" s="105">
        <f t="shared" ca="1" si="69"/>
        <v>0.15</v>
      </c>
      <c r="O81" s="108">
        <f t="shared" ca="1" si="70"/>
        <v>0</v>
      </c>
      <c r="P81" s="105">
        <f t="shared" ca="1" si="71"/>
        <v>0</v>
      </c>
      <c r="Q81" s="108">
        <f t="shared" ca="1" si="72"/>
        <v>46000</v>
      </c>
    </row>
    <row r="82" spans="1:255" ht="14.1" customHeight="1">
      <c r="A82" s="132">
        <f t="shared" si="73"/>
        <v>50</v>
      </c>
      <c r="B82" s="133" t="s">
        <v>568</v>
      </c>
      <c r="C82" s="132">
        <v>5540</v>
      </c>
      <c r="D82" s="109">
        <f t="shared" ca="1" si="62"/>
        <v>75000</v>
      </c>
      <c r="E82" s="109">
        <v>29000</v>
      </c>
      <c r="F82" s="109">
        <f t="shared" ca="1" si="62"/>
        <v>60000</v>
      </c>
      <c r="G82" s="110">
        <f t="shared" ca="1" si="62"/>
        <v>75000</v>
      </c>
      <c r="H82" s="114">
        <f t="shared" ca="1" si="63"/>
        <v>0.8</v>
      </c>
      <c r="I82" s="135">
        <f t="shared" ca="1" si="64"/>
        <v>30749.999999999996</v>
      </c>
      <c r="J82" s="114">
        <f t="shared" ca="1" si="65"/>
        <v>0.41</v>
      </c>
      <c r="K82" s="135">
        <f t="shared" ca="1" si="66"/>
        <v>33000</v>
      </c>
      <c r="L82" s="114">
        <f t="shared" ca="1" si="67"/>
        <v>0.44</v>
      </c>
      <c r="M82" s="135">
        <f t="shared" ca="1" si="68"/>
        <v>11250</v>
      </c>
      <c r="N82" s="114">
        <f t="shared" ca="1" si="69"/>
        <v>0.15</v>
      </c>
      <c r="O82" s="135">
        <f t="shared" ca="1" si="70"/>
        <v>0</v>
      </c>
      <c r="P82" s="114">
        <f t="shared" ca="1" si="71"/>
        <v>0</v>
      </c>
      <c r="Q82" s="135">
        <f t="shared" ca="1" si="72"/>
        <v>75000</v>
      </c>
    </row>
    <row r="83" spans="1:255" ht="14.1" customHeight="1">
      <c r="A83" s="88">
        <f t="shared" si="73"/>
        <v>51</v>
      </c>
      <c r="B83" s="99" t="s">
        <v>569</v>
      </c>
      <c r="C83" s="88">
        <v>5560</v>
      </c>
      <c r="D83" s="93">
        <f t="shared" ca="1" si="62"/>
        <v>4000</v>
      </c>
      <c r="E83" s="93">
        <v>2540</v>
      </c>
      <c r="F83" s="93">
        <f t="shared" ca="1" si="62"/>
        <v>4000</v>
      </c>
      <c r="G83" s="112">
        <f t="shared" ca="1" si="62"/>
        <v>4000</v>
      </c>
      <c r="H83" s="105">
        <f t="shared" ca="1" si="63"/>
        <v>1</v>
      </c>
      <c r="I83" s="108">
        <f t="shared" ca="1" si="64"/>
        <v>1640</v>
      </c>
      <c r="J83" s="105">
        <f t="shared" ca="1" si="65"/>
        <v>0.41</v>
      </c>
      <c r="K83" s="108">
        <f t="shared" ca="1" si="66"/>
        <v>1760</v>
      </c>
      <c r="L83" s="105">
        <f t="shared" ca="1" si="67"/>
        <v>0.44</v>
      </c>
      <c r="M83" s="108">
        <f t="shared" ca="1" si="68"/>
        <v>600</v>
      </c>
      <c r="N83" s="105">
        <f t="shared" ca="1" si="69"/>
        <v>0.15</v>
      </c>
      <c r="O83" s="108">
        <f t="shared" ca="1" si="70"/>
        <v>0</v>
      </c>
      <c r="P83" s="105">
        <f t="shared" ca="1" si="71"/>
        <v>0</v>
      </c>
      <c r="Q83" s="108">
        <f t="shared" ca="1" si="72"/>
        <v>4000</v>
      </c>
    </row>
    <row r="84" spans="1:255" ht="14.1" customHeight="1">
      <c r="A84" s="132">
        <f t="shared" si="73"/>
        <v>52</v>
      </c>
      <c r="B84" s="133" t="s">
        <v>570</v>
      </c>
      <c r="C84" s="132">
        <v>5565</v>
      </c>
      <c r="D84" s="109">
        <f t="shared" ca="1" si="62"/>
        <v>30000</v>
      </c>
      <c r="E84" s="109">
        <v>1400</v>
      </c>
      <c r="F84" s="109">
        <f t="shared" ca="1" si="62"/>
        <v>10000</v>
      </c>
      <c r="G84" s="110">
        <f t="shared" ca="1" si="62"/>
        <v>10000</v>
      </c>
      <c r="H84" s="114">
        <f t="shared" ca="1" si="63"/>
        <v>0.33333333333333331</v>
      </c>
      <c r="I84" s="135">
        <f t="shared" ca="1" si="64"/>
        <v>4100</v>
      </c>
      <c r="J84" s="114">
        <f t="shared" ca="1" si="65"/>
        <v>0.41</v>
      </c>
      <c r="K84" s="135">
        <f t="shared" ca="1" si="66"/>
        <v>4400</v>
      </c>
      <c r="L84" s="114">
        <f t="shared" ca="1" si="67"/>
        <v>0.44</v>
      </c>
      <c r="M84" s="135">
        <f t="shared" ca="1" si="68"/>
        <v>1500</v>
      </c>
      <c r="N84" s="114">
        <f t="shared" ca="1" si="69"/>
        <v>0.15</v>
      </c>
      <c r="O84" s="135">
        <f t="shared" ca="1" si="70"/>
        <v>0</v>
      </c>
      <c r="P84" s="114">
        <f t="shared" ca="1" si="71"/>
        <v>0</v>
      </c>
      <c r="Q84" s="135">
        <f t="shared" ca="1" si="72"/>
        <v>10000</v>
      </c>
    </row>
    <row r="85" spans="1:255" ht="14.1" customHeight="1">
      <c r="A85" s="88">
        <f t="shared" si="73"/>
        <v>53</v>
      </c>
      <c r="B85" s="99" t="s">
        <v>571</v>
      </c>
      <c r="C85" s="88">
        <v>5600</v>
      </c>
      <c r="D85" s="93">
        <f t="shared" ca="1" si="62"/>
        <v>7000</v>
      </c>
      <c r="E85" s="93">
        <v>515</v>
      </c>
      <c r="F85" s="93">
        <f t="shared" ca="1" si="62"/>
        <v>1500</v>
      </c>
      <c r="G85" s="112">
        <f t="shared" ca="1" si="62"/>
        <v>7000</v>
      </c>
      <c r="H85" s="105">
        <f t="shared" ca="1" si="63"/>
        <v>0.21428571428571427</v>
      </c>
      <c r="I85" s="108">
        <f t="shared" ca="1" si="64"/>
        <v>2310</v>
      </c>
      <c r="J85" s="105">
        <f t="shared" ca="1" si="65"/>
        <v>0.33</v>
      </c>
      <c r="K85" s="108">
        <f t="shared" ca="1" si="66"/>
        <v>2380.0000000000005</v>
      </c>
      <c r="L85" s="105">
        <f t="shared" ca="1" si="67"/>
        <v>0.34000000000000008</v>
      </c>
      <c r="M85" s="108">
        <f t="shared" ca="1" si="68"/>
        <v>2310</v>
      </c>
      <c r="N85" s="105">
        <f t="shared" ca="1" si="69"/>
        <v>0.33</v>
      </c>
      <c r="O85" s="108">
        <f t="shared" ca="1" si="70"/>
        <v>0</v>
      </c>
      <c r="P85" s="105">
        <f t="shared" ca="1" si="71"/>
        <v>0</v>
      </c>
      <c r="Q85" s="108">
        <f t="shared" ca="1" si="72"/>
        <v>7000</v>
      </c>
    </row>
    <row r="86" spans="1:255" ht="14.1" customHeight="1">
      <c r="A86" s="132">
        <f t="shared" si="73"/>
        <v>54</v>
      </c>
      <c r="B86" s="133" t="s">
        <v>572</v>
      </c>
      <c r="C86" s="132">
        <v>5650</v>
      </c>
      <c r="D86" s="109">
        <f t="shared" ca="1" si="62"/>
        <v>14000</v>
      </c>
      <c r="E86" s="109">
        <v>0</v>
      </c>
      <c r="F86" s="109">
        <f t="shared" ca="1" si="62"/>
        <v>5000</v>
      </c>
      <c r="G86" s="110">
        <f t="shared" ca="1" si="62"/>
        <v>10000</v>
      </c>
      <c r="H86" s="114">
        <f t="shared" ca="1" si="63"/>
        <v>0.35714285714285715</v>
      </c>
      <c r="I86" s="135">
        <f t="shared" ca="1" si="64"/>
        <v>3300.0000000000009</v>
      </c>
      <c r="J86" s="114">
        <f t="shared" ca="1" si="65"/>
        <v>0.33000000000000007</v>
      </c>
      <c r="K86" s="135">
        <f t="shared" ca="1" si="66"/>
        <v>3400.0000000000005</v>
      </c>
      <c r="L86" s="114">
        <f t="shared" ca="1" si="67"/>
        <v>0.34</v>
      </c>
      <c r="M86" s="135">
        <f t="shared" ca="1" si="68"/>
        <v>3300.0000000000009</v>
      </c>
      <c r="N86" s="114">
        <f t="shared" ca="1" si="69"/>
        <v>0.33000000000000007</v>
      </c>
      <c r="O86" s="135">
        <f t="shared" ca="1" si="70"/>
        <v>0</v>
      </c>
      <c r="P86" s="114">
        <f t="shared" ca="1" si="71"/>
        <v>0</v>
      </c>
      <c r="Q86" s="135">
        <f t="shared" ca="1" si="72"/>
        <v>10000.000000000004</v>
      </c>
    </row>
    <row r="87" spans="1:255" ht="14.1" customHeight="1" thickBot="1">
      <c r="A87" s="88"/>
      <c r="B87" s="106" t="str">
        <f>"Total "&amp;B62</f>
        <v>Total Administrative Expenses</v>
      </c>
      <c r="C87" s="90"/>
      <c r="D87" s="101">
        <f ca="1">SUM(D63:D86)</f>
        <v>466000</v>
      </c>
      <c r="E87" s="102"/>
      <c r="F87" s="101">
        <f ca="1">SUM(F63:F86)</f>
        <v>340050</v>
      </c>
      <c r="G87" s="113">
        <f ca="1">SUM(G63:G86)</f>
        <v>445800</v>
      </c>
      <c r="H87" s="111">
        <f t="shared" ca="1" si="63"/>
        <v>0.72972103004291844</v>
      </c>
      <c r="I87" s="117">
        <f ca="1">SUM(I63:I86)</f>
        <v>186378.76746527079</v>
      </c>
      <c r="J87" s="111"/>
      <c r="K87" s="117">
        <f ca="1">SUM(K63:K86)</f>
        <v>176652.3664183612</v>
      </c>
      <c r="L87" s="111"/>
      <c r="M87" s="117">
        <f ca="1">SUM(M63:M86)</f>
        <v>81921.229716126429</v>
      </c>
      <c r="N87" s="111"/>
      <c r="O87" s="117">
        <f ca="1">SUM(O63:O86)</f>
        <v>847.63640024159452</v>
      </c>
      <c r="P87" s="111"/>
      <c r="Q87" s="117">
        <f ca="1">SUM(Q63:Q86)</f>
        <v>445800</v>
      </c>
    </row>
    <row r="88" spans="1:255" ht="14.1" customHeight="1" thickTop="1">
      <c r="A88" s="88"/>
      <c r="B88" s="92" t="s">
        <v>514</v>
      </c>
      <c r="C88" s="88"/>
      <c r="G88" s="112"/>
      <c r="I88" s="108"/>
      <c r="K88" s="108"/>
      <c r="M88" s="108"/>
      <c r="O88" s="108"/>
      <c r="Q88" s="108"/>
    </row>
    <row r="89" spans="1:255" ht="14.1" customHeight="1">
      <c r="A89" s="88"/>
      <c r="B89" s="98" t="s">
        <v>573</v>
      </c>
      <c r="C89" s="219"/>
      <c r="D89" s="100">
        <f ca="1">D28+D35+D39+D50+D60+D87</f>
        <v>4326200</v>
      </c>
      <c r="E89" s="100">
        <f>E28+E35+E39+E50+E60+E87</f>
        <v>0</v>
      </c>
      <c r="F89" s="100">
        <f ca="1">F28+F35+F39+F50+F60+F87</f>
        <v>3976528</v>
      </c>
      <c r="G89" s="125">
        <f ca="1">G28+G35+G39+G50+G60+G87</f>
        <v>4469500</v>
      </c>
      <c r="I89" s="124">
        <f ca="1">I28+I35+I39+I50+I60+I87</f>
        <v>1807861.7674652708</v>
      </c>
      <c r="J89" s="118"/>
      <c r="K89" s="124">
        <f ca="1">K28+K35+K39+K50+K60+K87</f>
        <v>1733773.3664183612</v>
      </c>
      <c r="L89" s="118"/>
      <c r="M89" s="124">
        <f ca="1">M28+M35+M39+M50+M60+M87</f>
        <v>898745.22971612646</v>
      </c>
      <c r="N89" s="118"/>
      <c r="O89" s="124">
        <f ca="1">O28+O35+O39+O50+O60+O87</f>
        <v>29119.636400241594</v>
      </c>
      <c r="P89" s="118"/>
      <c r="Q89" s="124">
        <f ca="1">Q28+Q35+Q39+Q50+Q60+Q87</f>
        <v>4469500</v>
      </c>
    </row>
    <row r="90" spans="1:255" ht="14.1" customHeight="1">
      <c r="A90" s="88"/>
      <c r="B90" s="91" t="s">
        <v>514</v>
      </c>
      <c r="C90" s="88"/>
      <c r="G90" s="112"/>
      <c r="I90" s="108"/>
      <c r="K90" s="108"/>
      <c r="M90" s="108"/>
      <c r="O90" s="108"/>
      <c r="Q90" s="108"/>
    </row>
    <row r="91" spans="1:255" ht="14.1" customHeight="1">
      <c r="A91" s="88"/>
      <c r="B91" s="98" t="s">
        <v>574</v>
      </c>
      <c r="C91" s="88"/>
      <c r="D91" s="100">
        <f ca="1">D15-D89</f>
        <v>1087800</v>
      </c>
      <c r="E91" s="100"/>
      <c r="F91" s="100">
        <f ca="1">F15-F89</f>
        <v>1368987</v>
      </c>
      <c r="G91" s="125">
        <f ca="1">G15-G89</f>
        <v>1101500</v>
      </c>
      <c r="H91" s="140"/>
      <c r="I91" s="124">
        <f ca="1">I15-I89</f>
        <v>524138.23253472918</v>
      </c>
      <c r="J91" s="140"/>
      <c r="K91" s="124">
        <f ca="1">K15-K89</f>
        <v>736226.6335816388</v>
      </c>
      <c r="L91" s="140"/>
      <c r="M91" s="124">
        <f ca="1">M15-M89</f>
        <v>-129745.22971612646</v>
      </c>
      <c r="N91" s="140"/>
      <c r="O91" s="124">
        <f ca="1">O15-O89</f>
        <v>-29119.636400241594</v>
      </c>
      <c r="P91" s="140"/>
      <c r="Q91" s="124">
        <f ca="1">I91+K91+M91+O91</f>
        <v>1101499.9999999998</v>
      </c>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3"/>
      <c r="BQ91" s="103"/>
      <c r="BR91" s="103"/>
      <c r="BS91" s="103"/>
      <c r="BT91" s="103"/>
      <c r="BU91" s="103"/>
      <c r="BV91" s="103"/>
      <c r="BW91" s="103"/>
      <c r="BX91" s="103"/>
      <c r="BY91" s="103"/>
      <c r="BZ91" s="103"/>
      <c r="CA91" s="103"/>
      <c r="CB91" s="103"/>
      <c r="CC91" s="103"/>
      <c r="CD91" s="103"/>
      <c r="CE91" s="103"/>
      <c r="CF91" s="103"/>
      <c r="CG91" s="103"/>
      <c r="CH91" s="103"/>
      <c r="CI91" s="103"/>
      <c r="CJ91" s="103"/>
      <c r="CK91" s="103"/>
      <c r="CL91" s="103"/>
      <c r="CM91" s="103"/>
      <c r="CN91" s="103"/>
      <c r="CO91" s="103"/>
      <c r="CP91" s="103"/>
      <c r="CQ91" s="103"/>
      <c r="CR91" s="103"/>
      <c r="CS91" s="103"/>
      <c r="CT91" s="103"/>
      <c r="CU91" s="103"/>
      <c r="CV91" s="103"/>
      <c r="CW91" s="103"/>
      <c r="CX91" s="103"/>
      <c r="CY91" s="103"/>
      <c r="CZ91" s="103"/>
      <c r="DA91" s="103"/>
      <c r="DB91" s="103"/>
      <c r="DC91" s="103"/>
      <c r="DD91" s="103"/>
      <c r="DE91" s="103"/>
      <c r="DF91" s="103"/>
      <c r="DG91" s="103"/>
      <c r="DH91" s="103"/>
      <c r="DI91" s="103"/>
      <c r="DJ91" s="103"/>
      <c r="DK91" s="103"/>
      <c r="DL91" s="103"/>
      <c r="DM91" s="103"/>
      <c r="DN91" s="103"/>
      <c r="DO91" s="103"/>
      <c r="DP91" s="103"/>
      <c r="DQ91" s="103"/>
      <c r="DR91" s="103"/>
      <c r="DS91" s="103"/>
      <c r="DT91" s="103"/>
      <c r="DU91" s="103"/>
      <c r="DV91" s="103"/>
      <c r="DW91" s="103"/>
      <c r="DX91" s="103"/>
      <c r="DY91" s="103"/>
      <c r="DZ91" s="103"/>
      <c r="EA91" s="103"/>
      <c r="EB91" s="103"/>
      <c r="EC91" s="103"/>
      <c r="ED91" s="103"/>
      <c r="EE91" s="103"/>
      <c r="EF91" s="103"/>
      <c r="EG91" s="103"/>
      <c r="EH91" s="103"/>
      <c r="EI91" s="103"/>
      <c r="EJ91" s="103"/>
      <c r="EK91" s="103"/>
      <c r="EL91" s="103"/>
      <c r="EM91" s="103"/>
      <c r="EN91" s="103"/>
      <c r="EO91" s="103"/>
      <c r="EP91" s="103"/>
      <c r="EQ91" s="103"/>
      <c r="ER91" s="103"/>
      <c r="ES91" s="103"/>
      <c r="ET91" s="103"/>
      <c r="EU91" s="103"/>
      <c r="EV91" s="103"/>
      <c r="EW91" s="103"/>
      <c r="EX91" s="103"/>
      <c r="EY91" s="103"/>
      <c r="EZ91" s="103"/>
      <c r="FA91" s="103"/>
      <c r="FB91" s="103"/>
      <c r="FC91" s="103"/>
      <c r="FD91" s="103"/>
      <c r="FE91" s="103"/>
      <c r="FF91" s="103"/>
      <c r="FG91" s="103"/>
      <c r="FH91" s="103"/>
      <c r="FI91" s="103"/>
      <c r="FJ91" s="103"/>
      <c r="FK91" s="103"/>
      <c r="FL91" s="103"/>
      <c r="FM91" s="103"/>
      <c r="FN91" s="103"/>
      <c r="FO91" s="103"/>
      <c r="FP91" s="103"/>
      <c r="FQ91" s="103"/>
      <c r="FR91" s="103"/>
      <c r="FS91" s="103"/>
      <c r="FT91" s="103"/>
      <c r="FU91" s="103"/>
      <c r="FV91" s="103"/>
      <c r="FW91" s="103"/>
      <c r="FX91" s="103"/>
      <c r="FY91" s="103"/>
      <c r="FZ91" s="103"/>
      <c r="GA91" s="103"/>
      <c r="GB91" s="103"/>
      <c r="GC91" s="103"/>
      <c r="GD91" s="103"/>
      <c r="GE91" s="103"/>
      <c r="GF91" s="103"/>
      <c r="GG91" s="103"/>
      <c r="GH91" s="103"/>
      <c r="GI91" s="103"/>
      <c r="GJ91" s="103"/>
      <c r="GK91" s="103"/>
      <c r="GL91" s="103"/>
      <c r="GM91" s="103"/>
      <c r="GN91" s="103"/>
      <c r="GO91" s="103"/>
      <c r="GP91" s="103"/>
      <c r="GQ91" s="103"/>
      <c r="GR91" s="103"/>
      <c r="GS91" s="103"/>
      <c r="GT91" s="103"/>
      <c r="GU91" s="103"/>
      <c r="GV91" s="103"/>
      <c r="GW91" s="103"/>
      <c r="GX91" s="103"/>
      <c r="GY91" s="103"/>
      <c r="GZ91" s="103"/>
      <c r="HA91" s="103"/>
      <c r="HB91" s="103"/>
      <c r="HC91" s="103"/>
      <c r="HD91" s="103"/>
      <c r="HE91" s="103"/>
      <c r="HF91" s="103"/>
      <c r="HG91" s="103"/>
      <c r="HH91" s="103"/>
      <c r="HI91" s="103"/>
      <c r="HJ91" s="103"/>
      <c r="HK91" s="103"/>
      <c r="HL91" s="103"/>
      <c r="HM91" s="103"/>
      <c r="HN91" s="103"/>
      <c r="HO91" s="103"/>
      <c r="HP91" s="103"/>
      <c r="HQ91" s="103"/>
      <c r="HR91" s="103"/>
      <c r="HS91" s="103"/>
      <c r="HT91" s="103"/>
      <c r="HU91" s="103"/>
      <c r="HV91" s="103"/>
      <c r="HW91" s="103"/>
      <c r="HX91" s="103"/>
      <c r="HY91" s="103"/>
      <c r="HZ91" s="103"/>
      <c r="IA91" s="103"/>
      <c r="IB91" s="103"/>
      <c r="IC91" s="103"/>
      <c r="ID91" s="103"/>
      <c r="IE91" s="103"/>
      <c r="IF91" s="103"/>
      <c r="IG91" s="103"/>
      <c r="IH91" s="103"/>
      <c r="II91" s="103"/>
      <c r="IJ91" s="103"/>
      <c r="IK91" s="103"/>
      <c r="IL91" s="103"/>
      <c r="IM91" s="103"/>
      <c r="IN91" s="103"/>
      <c r="IO91" s="103"/>
      <c r="IP91" s="103"/>
      <c r="IQ91" s="103"/>
      <c r="IR91" s="103"/>
      <c r="IS91" s="103"/>
      <c r="IT91" s="103"/>
      <c r="IU91" s="103"/>
    </row>
    <row r="92" spans="1:255" ht="14.1" customHeight="1">
      <c r="A92" s="88"/>
      <c r="B92" s="91" t="s">
        <v>514</v>
      </c>
      <c r="C92" s="88"/>
      <c r="G92" s="112"/>
      <c r="I92" s="108"/>
      <c r="K92" s="108"/>
      <c r="M92" s="108"/>
      <c r="O92" s="108"/>
      <c r="Q92" s="108"/>
    </row>
    <row r="93" spans="1:255" ht="14.1" customHeight="1">
      <c r="A93" s="88"/>
      <c r="B93" s="89" t="s">
        <v>575</v>
      </c>
      <c r="C93" s="88"/>
      <c r="G93" s="112"/>
      <c r="I93" s="108"/>
      <c r="K93" s="108"/>
      <c r="M93" s="108"/>
      <c r="O93" s="108"/>
      <c r="Q93" s="108"/>
    </row>
    <row r="94" spans="1:255" ht="14.1" customHeight="1">
      <c r="A94" s="88">
        <f>A86+1</f>
        <v>55</v>
      </c>
      <c r="B94" s="99" t="s">
        <v>301</v>
      </c>
      <c r="C94" s="88">
        <v>6100</v>
      </c>
      <c r="D94" s="93">
        <f t="shared" ref="D94:G96" ca="1" si="74">INDIRECT("'"&amp;$A94&amp;"'!"&amp;D$5)</f>
        <v>90000</v>
      </c>
      <c r="E94" s="93">
        <v>50000</v>
      </c>
      <c r="F94" s="93">
        <v>100000</v>
      </c>
      <c r="G94" s="112">
        <f t="shared" ca="1" si="74"/>
        <v>90000</v>
      </c>
      <c r="H94" s="105">
        <f t="shared" ref="H94:H97" ca="1" si="75">F94/D94</f>
        <v>1.1111111111111112</v>
      </c>
      <c r="I94" s="108">
        <f t="shared" ref="I94:I96" ca="1" si="76">G94*J94</f>
        <v>31499.999999999996</v>
      </c>
      <c r="J94" s="105">
        <f t="shared" ref="J94:J96" ca="1" si="77">INDIRECT("'"&amp;$A94&amp;"'!"&amp;J$5)</f>
        <v>0.35</v>
      </c>
      <c r="K94" s="108">
        <f t="shared" ref="K94:K96" ca="1" si="78">G94*L94</f>
        <v>49500.000000000007</v>
      </c>
      <c r="L94" s="105">
        <f t="shared" ref="L94:L96" ca="1" si="79">INDIRECT("'"&amp;$A94&amp;"'!"&amp;L$5)</f>
        <v>0.55000000000000004</v>
      </c>
      <c r="M94" s="108">
        <f t="shared" ref="M94:M96" ca="1" si="80">G94*N94</f>
        <v>9000</v>
      </c>
      <c r="N94" s="105">
        <f t="shared" ref="N94:N96" ca="1" si="81">INDIRECT("'"&amp;$A94&amp;"'!"&amp;N$5)</f>
        <v>0.1</v>
      </c>
      <c r="O94" s="108">
        <f t="shared" ref="O94:O96" ca="1" si="82">G94*P94</f>
        <v>0</v>
      </c>
      <c r="P94" s="105">
        <f t="shared" ref="P94:P96" ca="1" si="83">INDIRECT("'"&amp;$A94&amp;"'!"&amp;P$5)</f>
        <v>0</v>
      </c>
      <c r="Q94" s="108">
        <f t="shared" ref="Q94:Q96" ca="1" si="84">I94+K94+M94+O94</f>
        <v>90000</v>
      </c>
    </row>
    <row r="95" spans="1:255" ht="14.1" customHeight="1">
      <c r="A95" s="132">
        <f>A94+1</f>
        <v>56</v>
      </c>
      <c r="B95" s="133" t="s">
        <v>576</v>
      </c>
      <c r="C95" s="132">
        <v>6200</v>
      </c>
      <c r="D95" s="109">
        <f t="shared" ca="1" si="74"/>
        <v>25000</v>
      </c>
      <c r="E95" s="109">
        <f t="shared" ca="1" si="74"/>
        <v>0</v>
      </c>
      <c r="F95" s="109">
        <f t="shared" ca="1" si="74"/>
        <v>0</v>
      </c>
      <c r="G95" s="110">
        <f t="shared" ca="1" si="74"/>
        <v>25000</v>
      </c>
      <c r="H95" s="114">
        <f ca="1">IFERROR(F95/D95,"")</f>
        <v>0</v>
      </c>
      <c r="I95" s="135">
        <f t="shared" ca="1" si="76"/>
        <v>2500</v>
      </c>
      <c r="J95" s="114">
        <f t="shared" ca="1" si="77"/>
        <v>0.1</v>
      </c>
      <c r="K95" s="135">
        <f t="shared" ca="1" si="78"/>
        <v>2500</v>
      </c>
      <c r="L95" s="114">
        <f t="shared" ca="1" si="79"/>
        <v>0.1</v>
      </c>
      <c r="M95" s="135">
        <f t="shared" ca="1" si="80"/>
        <v>2500</v>
      </c>
      <c r="N95" s="114">
        <f t="shared" ca="1" si="81"/>
        <v>0.1</v>
      </c>
      <c r="O95" s="135">
        <f t="shared" ca="1" si="82"/>
        <v>17500</v>
      </c>
      <c r="P95" s="114">
        <f t="shared" ca="1" si="83"/>
        <v>0.7</v>
      </c>
      <c r="Q95" s="135">
        <f t="shared" ca="1" si="84"/>
        <v>25000</v>
      </c>
    </row>
    <row r="96" spans="1:255" ht="14.1" customHeight="1">
      <c r="A96" s="88">
        <f>A95+1</f>
        <v>57</v>
      </c>
      <c r="B96" s="99" t="s">
        <v>577</v>
      </c>
      <c r="C96" s="88">
        <v>6320</v>
      </c>
      <c r="D96" s="93">
        <f t="shared" ca="1" si="74"/>
        <v>66000</v>
      </c>
      <c r="E96" s="93">
        <f t="shared" ca="1" si="74"/>
        <v>45200</v>
      </c>
      <c r="F96" s="93">
        <f t="shared" ca="1" si="74"/>
        <v>80000</v>
      </c>
      <c r="G96" s="112">
        <f t="shared" ca="1" si="74"/>
        <v>80000</v>
      </c>
      <c r="H96" s="105">
        <f t="shared" ca="1" si="75"/>
        <v>1.2121212121212122</v>
      </c>
      <c r="I96" s="108">
        <f t="shared" ca="1" si="76"/>
        <v>0</v>
      </c>
      <c r="J96" s="105">
        <f t="shared" ca="1" si="77"/>
        <v>0</v>
      </c>
      <c r="K96" s="108">
        <f t="shared" ca="1" si="78"/>
        <v>0</v>
      </c>
      <c r="L96" s="105">
        <f t="shared" ca="1" si="79"/>
        <v>0</v>
      </c>
      <c r="M96" s="108">
        <f t="shared" ca="1" si="80"/>
        <v>0</v>
      </c>
      <c r="N96" s="105">
        <f t="shared" ca="1" si="81"/>
        <v>0</v>
      </c>
      <c r="O96" s="108">
        <f t="shared" ca="1" si="82"/>
        <v>80000</v>
      </c>
      <c r="P96" s="105">
        <f t="shared" ca="1" si="83"/>
        <v>1</v>
      </c>
      <c r="Q96" s="108">
        <f t="shared" ca="1" si="84"/>
        <v>80000</v>
      </c>
    </row>
    <row r="97" spans="1:17" ht="14.1" customHeight="1" thickBot="1">
      <c r="A97" s="88"/>
      <c r="B97" s="106" t="s">
        <v>578</v>
      </c>
      <c r="C97" s="90"/>
      <c r="D97" s="101">
        <f ca="1">SUM(D94:D96)</f>
        <v>181000</v>
      </c>
      <c r="E97" s="102"/>
      <c r="F97" s="101">
        <f ca="1">SUM(F94:F96)</f>
        <v>180000</v>
      </c>
      <c r="G97" s="113">
        <f ca="1">SUM(G94:G96)</f>
        <v>195000</v>
      </c>
      <c r="H97" s="111">
        <f t="shared" ca="1" si="75"/>
        <v>0.99447513812154698</v>
      </c>
      <c r="I97" s="117">
        <f ca="1">SUM(I94:I96)</f>
        <v>34000</v>
      </c>
      <c r="J97" s="111"/>
      <c r="K97" s="117">
        <f ca="1">SUM(K94:K96)</f>
        <v>52000.000000000007</v>
      </c>
      <c r="L97" s="111"/>
      <c r="M97" s="117">
        <f ca="1">SUM(M94:M96)</f>
        <v>11500</v>
      </c>
      <c r="N97" s="111"/>
      <c r="O97" s="117">
        <f ca="1">SUM(O94:O96)</f>
        <v>97500</v>
      </c>
      <c r="P97" s="111"/>
      <c r="Q97" s="117">
        <f ca="1">I97+K97+M97+O97</f>
        <v>195000</v>
      </c>
    </row>
    <row r="98" spans="1:17" ht="14.1" customHeight="1" thickTop="1">
      <c r="A98" s="88"/>
      <c r="B98" s="91" t="s">
        <v>514</v>
      </c>
      <c r="C98" s="88"/>
      <c r="G98" s="112"/>
      <c r="I98" s="108"/>
      <c r="K98" s="108"/>
      <c r="M98" s="108"/>
      <c r="O98" s="108"/>
      <c r="Q98" s="108"/>
    </row>
    <row r="99" spans="1:17" ht="14.1" customHeight="1">
      <c r="A99" s="88"/>
      <c r="B99" s="89" t="s">
        <v>579</v>
      </c>
      <c r="C99" s="88"/>
      <c r="G99" s="112"/>
      <c r="I99" s="108"/>
      <c r="K99" s="108"/>
      <c r="M99" s="108"/>
      <c r="O99" s="108"/>
      <c r="Q99" s="108"/>
    </row>
    <row r="100" spans="1:17" ht="14.1" customHeight="1">
      <c r="A100" s="132">
        <f>A96+1</f>
        <v>58</v>
      </c>
      <c r="B100" s="133" t="s">
        <v>580</v>
      </c>
      <c r="C100" s="132">
        <v>2805</v>
      </c>
      <c r="D100" s="109">
        <f t="shared" ref="D100:G102" ca="1" si="85">INDIRECT("'"&amp;$A100&amp;"'!"&amp;D$5)</f>
        <v>315000</v>
      </c>
      <c r="E100" s="109">
        <f t="shared" ca="1" si="85"/>
        <v>314977</v>
      </c>
      <c r="F100" s="109">
        <f t="shared" ca="1" si="85"/>
        <v>314977</v>
      </c>
      <c r="G100" s="110">
        <f t="shared" ca="1" si="85"/>
        <v>313000</v>
      </c>
      <c r="H100" s="114">
        <f t="shared" ref="H100:H103" ca="1" si="86">F100/D100</f>
        <v>0.99992698412698411</v>
      </c>
      <c r="I100" s="135">
        <f t="shared" ref="I100:I101" ca="1" si="87">G100*J100</f>
        <v>313000</v>
      </c>
      <c r="J100" s="114">
        <f t="shared" ref="J100:J102" ca="1" si="88">INDIRECT("'"&amp;$A100&amp;"'!"&amp;J$5)</f>
        <v>1</v>
      </c>
      <c r="K100" s="135">
        <f t="shared" ref="K100:K101" ca="1" si="89">G100*L100</f>
        <v>0</v>
      </c>
      <c r="L100" s="114">
        <f t="shared" ref="L100:L102" ca="1" si="90">INDIRECT("'"&amp;$A100&amp;"'!"&amp;L$5)</f>
        <v>0</v>
      </c>
      <c r="M100" s="135">
        <f t="shared" ref="M100:M101" ca="1" si="91">G100*N100</f>
        <v>0</v>
      </c>
      <c r="N100" s="114">
        <f t="shared" ref="N100:N102" ca="1" si="92">INDIRECT("'"&amp;$A100&amp;"'!"&amp;N$5)</f>
        <v>0</v>
      </c>
      <c r="O100" s="135">
        <f t="shared" ref="O100:O101" ca="1" si="93">G100*P100</f>
        <v>0</v>
      </c>
      <c r="P100" s="114">
        <f t="shared" ref="P100:P102" ca="1" si="94">INDIRECT("'"&amp;$A100&amp;"'!"&amp;P$5)</f>
        <v>0</v>
      </c>
      <c r="Q100" s="135">
        <f t="shared" ref="Q100:Q101" ca="1" si="95">I100+K100+M100+O100</f>
        <v>313000</v>
      </c>
    </row>
    <row r="101" spans="1:17" ht="14.1" customHeight="1">
      <c r="A101" s="88">
        <f>A100+1</f>
        <v>59</v>
      </c>
      <c r="B101" s="99" t="s">
        <v>581</v>
      </c>
      <c r="C101" s="88">
        <v>2855</v>
      </c>
      <c r="D101" s="93">
        <f t="shared" ca="1" si="85"/>
        <v>220000</v>
      </c>
      <c r="E101" s="93">
        <f t="shared" ca="1" si="85"/>
        <v>219197</v>
      </c>
      <c r="F101" s="93">
        <f t="shared" ca="1" si="85"/>
        <v>219196.88</v>
      </c>
      <c r="G101" s="112">
        <f t="shared" ca="1" si="85"/>
        <v>220000</v>
      </c>
      <c r="H101" s="105">
        <f t="shared" ca="1" si="86"/>
        <v>0.99634945454545454</v>
      </c>
      <c r="I101" s="108">
        <f t="shared" ca="1" si="87"/>
        <v>0</v>
      </c>
      <c r="J101" s="105">
        <f t="shared" ca="1" si="88"/>
        <v>0</v>
      </c>
      <c r="K101" s="108">
        <f t="shared" ca="1" si="89"/>
        <v>220000</v>
      </c>
      <c r="L101" s="105">
        <f t="shared" ca="1" si="90"/>
        <v>1</v>
      </c>
      <c r="M101" s="108">
        <f t="shared" ca="1" si="91"/>
        <v>0</v>
      </c>
      <c r="N101" s="105">
        <f t="shared" ca="1" si="92"/>
        <v>0</v>
      </c>
      <c r="O101" s="108">
        <f t="shared" ca="1" si="93"/>
        <v>0</v>
      </c>
      <c r="P101" s="105">
        <f t="shared" ca="1" si="94"/>
        <v>0</v>
      </c>
      <c r="Q101" s="108">
        <f t="shared" ca="1" si="95"/>
        <v>220000</v>
      </c>
    </row>
    <row r="102" spans="1:17" ht="14.1" customHeight="1">
      <c r="A102" s="132">
        <v>60</v>
      </c>
      <c r="B102" s="133" t="s">
        <v>582</v>
      </c>
      <c r="C102" s="132">
        <v>2700</v>
      </c>
      <c r="D102" s="109">
        <v>85000</v>
      </c>
      <c r="E102" s="109">
        <v>85000</v>
      </c>
      <c r="F102" s="109">
        <v>85000</v>
      </c>
      <c r="G102" s="110">
        <f t="shared" ca="1" si="85"/>
        <v>85000</v>
      </c>
      <c r="H102" s="114"/>
      <c r="I102" s="135">
        <f t="shared" ref="I102" ca="1" si="96">G102*J102</f>
        <v>41225</v>
      </c>
      <c r="J102" s="114">
        <f t="shared" ca="1" si="88"/>
        <v>0.48499999999999999</v>
      </c>
      <c r="K102" s="135">
        <f t="shared" ref="K102" ca="1" si="97">G102*L102</f>
        <v>43775</v>
      </c>
      <c r="L102" s="114">
        <f t="shared" ca="1" si="90"/>
        <v>0.51500000000000001</v>
      </c>
      <c r="M102" s="135">
        <f t="shared" ref="M102" ca="1" si="98">G102*N102</f>
        <v>0</v>
      </c>
      <c r="N102" s="114">
        <f t="shared" ca="1" si="92"/>
        <v>0</v>
      </c>
      <c r="O102" s="135">
        <f t="shared" ref="O102" ca="1" si="99">G102*P102</f>
        <v>0</v>
      </c>
      <c r="P102" s="114">
        <f t="shared" ca="1" si="94"/>
        <v>0</v>
      </c>
      <c r="Q102" s="135">
        <f ca="1">I102+K102+M102+O102</f>
        <v>85000</v>
      </c>
    </row>
    <row r="103" spans="1:17" ht="14.1" customHeight="1" thickBot="1">
      <c r="A103" s="88"/>
      <c r="B103" s="106" t="s">
        <v>583</v>
      </c>
      <c r="C103" s="90"/>
      <c r="D103" s="101">
        <f ca="1">SUM(D100:D101)</f>
        <v>535000</v>
      </c>
      <c r="E103" s="102"/>
      <c r="F103" s="101">
        <f ca="1">SUM(F100:F101)</f>
        <v>534173.88</v>
      </c>
      <c r="G103" s="113">
        <f ca="1">SUM(G100:G102)</f>
        <v>618000</v>
      </c>
      <c r="H103" s="111">
        <f t="shared" ca="1" si="86"/>
        <v>0.99845585046728969</v>
      </c>
      <c r="I103" s="117">
        <f ca="1">SUM(I100:I102)</f>
        <v>354225</v>
      </c>
      <c r="J103" s="111"/>
      <c r="K103" s="117">
        <f ca="1">SUM(K100:K102)</f>
        <v>263775</v>
      </c>
      <c r="L103" s="111"/>
      <c r="M103" s="117">
        <f ca="1">SUM(M100:M102)</f>
        <v>0</v>
      </c>
      <c r="N103" s="111"/>
      <c r="O103" s="117">
        <f ca="1">SUM(O100:O102)</f>
        <v>0</v>
      </c>
      <c r="P103" s="111"/>
      <c r="Q103" s="117">
        <f ca="1">SUM(Q100:Q102)</f>
        <v>618000</v>
      </c>
    </row>
    <row r="104" spans="1:17" ht="14.1" customHeight="1" thickTop="1">
      <c r="A104" s="88"/>
      <c r="B104" s="91" t="s">
        <v>514</v>
      </c>
      <c r="C104" s="88"/>
      <c r="G104" s="112"/>
      <c r="I104" s="108"/>
      <c r="K104" s="108"/>
      <c r="M104" s="108"/>
      <c r="O104" s="108"/>
      <c r="Q104" s="108"/>
    </row>
    <row r="105" spans="1:17" ht="14.1" customHeight="1">
      <c r="A105" s="88"/>
      <c r="B105" s="89" t="s">
        <v>584</v>
      </c>
      <c r="C105" s="88"/>
      <c r="G105" s="112"/>
      <c r="I105" s="108"/>
      <c r="K105" s="108"/>
      <c r="M105" s="108"/>
      <c r="O105" s="108"/>
      <c r="Q105" s="108"/>
    </row>
    <row r="106" spans="1:17" ht="14.1" customHeight="1">
      <c r="A106" s="132">
        <v>61</v>
      </c>
      <c r="B106" s="133" t="s">
        <v>585</v>
      </c>
      <c r="C106" s="132" t="s">
        <v>586</v>
      </c>
      <c r="D106" s="109">
        <f t="shared" ref="D106:G106" ca="1" si="100">INDIRECT("'"&amp;$A106&amp;"'!"&amp;D$5)</f>
        <v>50000</v>
      </c>
      <c r="E106" s="109">
        <f t="shared" ca="1" si="100"/>
        <v>0</v>
      </c>
      <c r="F106" s="109">
        <f t="shared" ca="1" si="100"/>
        <v>0</v>
      </c>
      <c r="G106" s="110">
        <f t="shared" ca="1" si="100"/>
        <v>1000</v>
      </c>
      <c r="H106" s="114">
        <f t="shared" ref="H106" ca="1" si="101">F106/D106</f>
        <v>0</v>
      </c>
      <c r="I106" s="135">
        <f ca="1">G106*J106</f>
        <v>485</v>
      </c>
      <c r="J106" s="114">
        <f t="shared" ref="J106" ca="1" si="102">INDIRECT("'"&amp;$A106&amp;"'!"&amp;J$5)</f>
        <v>0.48499999999999999</v>
      </c>
      <c r="K106" s="135">
        <f ca="1">G106*L106</f>
        <v>515</v>
      </c>
      <c r="L106" s="114">
        <f t="shared" ref="L106" ca="1" si="103">INDIRECT("'"&amp;$A106&amp;"'!"&amp;L$5)</f>
        <v>0.51500000000000001</v>
      </c>
      <c r="M106" s="135">
        <f t="shared" ref="M106" ca="1" si="104">G106*N106</f>
        <v>0</v>
      </c>
      <c r="N106" s="114">
        <f t="shared" ref="N106" ca="1" si="105">INDIRECT("'"&amp;$A106&amp;"'!"&amp;N$5)</f>
        <v>0</v>
      </c>
      <c r="O106" s="135">
        <f ca="1">-SUM(M106,K106,I106)</f>
        <v>-1000</v>
      </c>
      <c r="P106" s="114">
        <f t="shared" ref="P106" ca="1" si="106">INDIRECT("'"&amp;$A106&amp;"'!"&amp;P$5)</f>
        <v>0</v>
      </c>
      <c r="Q106" s="135">
        <f ca="1">I106+K106+M106+O106</f>
        <v>0</v>
      </c>
    </row>
    <row r="107" spans="1:17" ht="14.1" customHeight="1" thickBot="1">
      <c r="B107" s="106" t="s">
        <v>587</v>
      </c>
      <c r="C107" s="90"/>
      <c r="D107" s="101">
        <f ca="1">SUM(D106:D106)</f>
        <v>50000</v>
      </c>
      <c r="E107" s="102"/>
      <c r="F107" s="101">
        <f ca="1">SUM(F106:F106)</f>
        <v>0</v>
      </c>
      <c r="G107" s="113">
        <f ca="1">SUM(G106:G106)</f>
        <v>1000</v>
      </c>
      <c r="H107" s="111"/>
      <c r="I107" s="117">
        <f ca="1">SUM(I106:I106)</f>
        <v>485</v>
      </c>
      <c r="J107" s="111"/>
      <c r="K107" s="117">
        <f ca="1">SUM(K106:K106)</f>
        <v>515</v>
      </c>
      <c r="L107" s="111"/>
      <c r="M107" s="117">
        <f ca="1">SUM(M106:M106)</f>
        <v>0</v>
      </c>
      <c r="N107" s="111"/>
      <c r="O107" s="117">
        <f ca="1">SUM(O106:O106)</f>
        <v>-1000</v>
      </c>
      <c r="P107" s="111"/>
      <c r="Q107" s="117">
        <f ca="1">SUM(Q106:Q106)</f>
        <v>0</v>
      </c>
    </row>
    <row r="108" spans="1:17" ht="14.1" customHeight="1" thickTop="1">
      <c r="B108" s="92" t="s">
        <v>514</v>
      </c>
      <c r="D108" s="125"/>
      <c r="E108" s="125"/>
      <c r="F108" s="125"/>
      <c r="G108" s="125"/>
      <c r="H108" s="126"/>
      <c r="I108" s="127"/>
      <c r="J108" s="126"/>
      <c r="K108" s="127"/>
      <c r="L108" s="126"/>
      <c r="M108" s="127"/>
      <c r="N108" s="126"/>
      <c r="O108" s="127"/>
      <c r="P108" s="126"/>
      <c r="Q108" s="127"/>
    </row>
    <row r="109" spans="1:17" ht="14.1" customHeight="1">
      <c r="B109" s="98" t="s">
        <v>588</v>
      </c>
      <c r="D109" s="100">
        <f ca="1">D91+D97-D103-D107</f>
        <v>683800</v>
      </c>
      <c r="E109" s="100">
        <f t="shared" ref="E109:O109" si="107">E91+E97-E103-E107</f>
        <v>0</v>
      </c>
      <c r="F109" s="100">
        <f t="shared" ca="1" si="107"/>
        <v>1014813.12</v>
      </c>
      <c r="G109" s="125">
        <f ca="1">G91+G97-G103-G107</f>
        <v>677500</v>
      </c>
      <c r="H109" s="140"/>
      <c r="I109" s="124">
        <f ca="1">I91+I97-I103-I107</f>
        <v>203428.23253472918</v>
      </c>
      <c r="J109" s="140"/>
      <c r="K109" s="124">
        <f t="shared" ca="1" si="107"/>
        <v>523936.6335816388</v>
      </c>
      <c r="L109" s="140"/>
      <c r="M109" s="124">
        <f t="shared" ca="1" si="107"/>
        <v>-118245.22971612646</v>
      </c>
      <c r="N109" s="140"/>
      <c r="O109" s="124">
        <f t="shared" ca="1" si="107"/>
        <v>69380.363599758406</v>
      </c>
      <c r="P109" s="140"/>
      <c r="Q109" s="124">
        <f ca="1">Q91+Q97-Q103-Q107</f>
        <v>678499.99999999977</v>
      </c>
    </row>
    <row r="110" spans="1:17" ht="14.1" customHeight="1">
      <c r="G110" s="112"/>
      <c r="I110" s="108"/>
      <c r="K110" s="108"/>
      <c r="M110" s="108"/>
      <c r="O110" s="108"/>
      <c r="Q110" s="108"/>
    </row>
    <row r="111" spans="1:17" ht="14.1" customHeight="1">
      <c r="B111" s="89" t="s">
        <v>589</v>
      </c>
      <c r="G111" s="112"/>
      <c r="I111" s="108"/>
      <c r="K111" s="108"/>
      <c r="M111" s="108"/>
      <c r="O111" s="108"/>
      <c r="Q111" s="108"/>
    </row>
    <row r="112" spans="1:17" ht="14.1" customHeight="1">
      <c r="B112" s="128"/>
      <c r="G112" s="112"/>
      <c r="I112" s="108"/>
      <c r="K112" s="108"/>
      <c r="M112" s="108"/>
      <c r="O112" s="108"/>
      <c r="Q112" s="108"/>
    </row>
    <row r="113" spans="2:17" ht="14.1" customHeight="1">
      <c r="B113" s="98" t="s">
        <v>430</v>
      </c>
      <c r="G113" s="112"/>
      <c r="I113" s="108"/>
      <c r="K113" s="108"/>
      <c r="M113" s="108"/>
      <c r="O113" s="108"/>
      <c r="Q113" s="130"/>
    </row>
    <row r="114" spans="2:17" ht="14.1" customHeight="1">
      <c r="B114" s="25" t="s">
        <v>32</v>
      </c>
      <c r="G114" s="112"/>
      <c r="I114" s="108">
        <v>0</v>
      </c>
      <c r="K114" s="108">
        <v>0</v>
      </c>
      <c r="M114" s="108">
        <v>0</v>
      </c>
      <c r="O114" s="108">
        <v>0</v>
      </c>
      <c r="Q114" s="130">
        <f t="shared" ref="Q114:Q118" si="108">I114+K114+M114+O114</f>
        <v>0</v>
      </c>
    </row>
    <row r="115" spans="2:17" ht="14.1" customHeight="1">
      <c r="B115" s="136" t="s">
        <v>33</v>
      </c>
      <c r="C115" s="137"/>
      <c r="D115" s="109"/>
      <c r="E115" s="109"/>
      <c r="F115" s="109"/>
      <c r="G115" s="110"/>
      <c r="H115" s="114"/>
      <c r="I115" s="135">
        <v>0</v>
      </c>
      <c r="J115" s="114"/>
      <c r="K115" s="135">
        <v>0</v>
      </c>
      <c r="L115" s="114"/>
      <c r="M115" s="135">
        <v>0</v>
      </c>
      <c r="N115" s="114"/>
      <c r="O115" s="135">
        <v>0</v>
      </c>
      <c r="P115" s="114"/>
      <c r="Q115" s="138">
        <f t="shared" si="108"/>
        <v>0</v>
      </c>
    </row>
    <row r="116" spans="2:17" ht="14.1" customHeight="1">
      <c r="B116" s="25" t="s">
        <v>590</v>
      </c>
      <c r="G116" s="112"/>
      <c r="I116" s="108">
        <v>0</v>
      </c>
      <c r="K116" s="108">
        <v>0</v>
      </c>
      <c r="M116" s="108">
        <v>0</v>
      </c>
      <c r="O116" s="108">
        <v>0</v>
      </c>
      <c r="Q116" s="131">
        <f t="shared" si="108"/>
        <v>0</v>
      </c>
    </row>
    <row r="117" spans="2:17" ht="14.1" customHeight="1">
      <c r="B117" s="136" t="s">
        <v>591</v>
      </c>
      <c r="C117" s="137"/>
      <c r="D117" s="109"/>
      <c r="E117" s="109"/>
      <c r="F117" s="109"/>
      <c r="G117" s="110"/>
      <c r="H117" s="114"/>
      <c r="I117" s="135">
        <v>0</v>
      </c>
      <c r="J117" s="114"/>
      <c r="K117" s="135">
        <v>0</v>
      </c>
      <c r="L117" s="114"/>
      <c r="M117" s="135">
        <v>0</v>
      </c>
      <c r="N117" s="114"/>
      <c r="O117" s="135">
        <f ca="1">O109</f>
        <v>69380.363599758406</v>
      </c>
      <c r="P117" s="114"/>
      <c r="Q117" s="138">
        <f t="shared" ca="1" si="108"/>
        <v>69380.363599758406</v>
      </c>
    </row>
    <row r="118" spans="2:17" ht="14.1" customHeight="1" thickBot="1">
      <c r="B118" s="106" t="str">
        <f>"Total "&amp;B113&amp;" Contributions"</f>
        <v>Total Unrestricted Contributions</v>
      </c>
      <c r="C118" s="90"/>
      <c r="D118" s="101"/>
      <c r="E118" s="102"/>
      <c r="F118" s="101"/>
      <c r="G118" s="113"/>
      <c r="H118" s="111"/>
      <c r="I118" s="117">
        <f>SUM(I113:I117)</f>
        <v>0</v>
      </c>
      <c r="J118" s="111"/>
      <c r="K118" s="117">
        <f>SUM(K113:K117)</f>
        <v>0</v>
      </c>
      <c r="L118" s="111"/>
      <c r="M118" s="117">
        <f>SUM(M113:M117)</f>
        <v>0</v>
      </c>
      <c r="N118" s="111"/>
      <c r="O118" s="117">
        <f ca="1">SUM(O113:O117)</f>
        <v>69380.363599758406</v>
      </c>
      <c r="P118" s="111"/>
      <c r="Q118" s="117">
        <f t="shared" ca="1" si="108"/>
        <v>69380.363599758406</v>
      </c>
    </row>
    <row r="119" spans="2:17" ht="14.1" customHeight="1" thickTop="1">
      <c r="B119" s="25"/>
      <c r="G119" s="112"/>
      <c r="I119" s="108"/>
      <c r="K119" s="108"/>
      <c r="M119" s="108"/>
      <c r="O119" s="108"/>
      <c r="Q119" s="108"/>
    </row>
    <row r="120" spans="2:17" ht="14.1" customHeight="1">
      <c r="B120" s="98" t="s">
        <v>431</v>
      </c>
      <c r="G120" s="112"/>
      <c r="I120" s="108"/>
      <c r="K120" s="108"/>
      <c r="M120" s="108"/>
      <c r="O120" s="108"/>
      <c r="Q120" s="108"/>
    </row>
    <row r="121" spans="2:17" ht="14.1" customHeight="1">
      <c r="B121" s="25" t="s">
        <v>592</v>
      </c>
      <c r="G121" s="112"/>
      <c r="I121" s="108">
        <v>0</v>
      </c>
      <c r="K121" s="108">
        <v>0</v>
      </c>
      <c r="M121" s="108">
        <v>0</v>
      </c>
      <c r="O121" s="108">
        <v>0</v>
      </c>
      <c r="Q121" s="108">
        <f t="shared" ref="Q121:Q129" si="109">I121+K121+M121+O121</f>
        <v>0</v>
      </c>
    </row>
    <row r="122" spans="2:17" ht="14.1" customHeight="1">
      <c r="B122" s="136" t="s">
        <v>593</v>
      </c>
      <c r="C122" s="137"/>
      <c r="D122" s="109"/>
      <c r="E122" s="109"/>
      <c r="F122" s="109"/>
      <c r="G122" s="110"/>
      <c r="H122" s="114"/>
      <c r="I122" s="135">
        <v>22000</v>
      </c>
      <c r="J122" s="114"/>
      <c r="K122" s="135">
        <v>0</v>
      </c>
      <c r="L122" s="114"/>
      <c r="M122" s="135">
        <v>0</v>
      </c>
      <c r="N122" s="114"/>
      <c r="O122" s="135">
        <v>0</v>
      </c>
      <c r="P122" s="114"/>
      <c r="Q122" s="135">
        <f t="shared" si="109"/>
        <v>22000</v>
      </c>
    </row>
    <row r="123" spans="2:17" ht="14.1" customHeight="1">
      <c r="B123" s="25" t="s">
        <v>594</v>
      </c>
      <c r="G123" s="112"/>
      <c r="I123" s="108">
        <v>181400</v>
      </c>
      <c r="K123" s="108">
        <v>0</v>
      </c>
      <c r="M123" s="108">
        <v>0</v>
      </c>
      <c r="O123" s="108">
        <v>0</v>
      </c>
      <c r="Q123" s="108">
        <f t="shared" si="109"/>
        <v>181400</v>
      </c>
    </row>
    <row r="124" spans="2:17" ht="14.1" customHeight="1">
      <c r="B124" s="136" t="s">
        <v>595</v>
      </c>
      <c r="C124" s="137"/>
      <c r="D124" s="109"/>
      <c r="E124" s="109"/>
      <c r="F124" s="109"/>
      <c r="G124" s="110"/>
      <c r="H124" s="114"/>
      <c r="I124" s="135">
        <v>0</v>
      </c>
      <c r="J124" s="114"/>
      <c r="K124" s="135">
        <v>0</v>
      </c>
      <c r="L124" s="114"/>
      <c r="M124" s="135">
        <v>0</v>
      </c>
      <c r="N124" s="114"/>
      <c r="O124" s="135">
        <v>0</v>
      </c>
      <c r="P124" s="114"/>
      <c r="Q124" s="135">
        <f t="shared" si="109"/>
        <v>0</v>
      </c>
    </row>
    <row r="125" spans="2:17" ht="14.1" customHeight="1">
      <c r="B125" s="25" t="s">
        <v>596</v>
      </c>
      <c r="G125" s="112"/>
      <c r="I125" s="108">
        <v>0</v>
      </c>
      <c r="K125" s="108">
        <v>0</v>
      </c>
      <c r="M125" s="108">
        <v>0</v>
      </c>
      <c r="O125" s="108">
        <v>0</v>
      </c>
      <c r="Q125" s="108">
        <f t="shared" si="109"/>
        <v>0</v>
      </c>
    </row>
    <row r="126" spans="2:17" ht="14.1" customHeight="1">
      <c r="B126" s="136" t="s">
        <v>597</v>
      </c>
      <c r="C126" s="137"/>
      <c r="D126" s="109"/>
      <c r="E126" s="109"/>
      <c r="F126" s="109"/>
      <c r="G126" s="110"/>
      <c r="H126" s="114"/>
      <c r="I126" s="135">
        <v>0</v>
      </c>
      <c r="J126" s="114"/>
      <c r="K126" s="135">
        <v>523937</v>
      </c>
      <c r="L126" s="114"/>
      <c r="M126" s="135">
        <v>0</v>
      </c>
      <c r="N126" s="114"/>
      <c r="O126" s="135">
        <v>0</v>
      </c>
      <c r="P126" s="114"/>
      <c r="Q126" s="135">
        <f t="shared" si="109"/>
        <v>523937</v>
      </c>
    </row>
    <row r="127" spans="2:17" ht="14.1" customHeight="1">
      <c r="B127" s="25" t="s">
        <v>598</v>
      </c>
      <c r="G127" s="112"/>
      <c r="I127" s="108">
        <v>0</v>
      </c>
      <c r="K127" s="108">
        <v>0</v>
      </c>
      <c r="M127" s="108">
        <v>0</v>
      </c>
      <c r="O127" s="108">
        <v>0</v>
      </c>
      <c r="Q127" s="108">
        <f t="shared" si="109"/>
        <v>0</v>
      </c>
    </row>
    <row r="128" spans="2:17" ht="14.1" customHeight="1">
      <c r="B128" s="136" t="s">
        <v>599</v>
      </c>
      <c r="C128" s="137"/>
      <c r="D128" s="109"/>
      <c r="E128" s="109"/>
      <c r="F128" s="109"/>
      <c r="G128" s="110"/>
      <c r="H128" s="114"/>
      <c r="I128" s="135">
        <v>0</v>
      </c>
      <c r="J128" s="114"/>
      <c r="K128" s="135">
        <v>0</v>
      </c>
      <c r="L128" s="114"/>
      <c r="M128" s="135">
        <f ca="1">M109</f>
        <v>-118245.22971612646</v>
      </c>
      <c r="N128" s="114"/>
      <c r="O128" s="135">
        <v>0</v>
      </c>
      <c r="P128" s="114"/>
      <c r="Q128" s="135">
        <f t="shared" ca="1" si="109"/>
        <v>-118245.22971612646</v>
      </c>
    </row>
    <row r="129" spans="2:17" ht="14.1" customHeight="1">
      <c r="B129" s="25" t="s">
        <v>600</v>
      </c>
      <c r="G129" s="112"/>
      <c r="I129" s="108">
        <v>0</v>
      </c>
      <c r="K129" s="108">
        <v>0</v>
      </c>
      <c r="M129" s="108">
        <v>0</v>
      </c>
      <c r="O129" s="108">
        <v>0</v>
      </c>
      <c r="Q129" s="108">
        <f t="shared" si="109"/>
        <v>0</v>
      </c>
    </row>
    <row r="130" spans="2:17" ht="14.1" customHeight="1" thickBot="1">
      <c r="B130" s="106" t="str">
        <f>"Total "&amp;B120&amp;" Contributions"</f>
        <v>Total Board Restricted Contributions</v>
      </c>
      <c r="C130" s="90"/>
      <c r="D130" s="101"/>
      <c r="E130" s="102"/>
      <c r="F130" s="101"/>
      <c r="G130" s="113"/>
      <c r="H130" s="111"/>
      <c r="I130" s="117">
        <f>SUM(I120:I129)</f>
        <v>203400</v>
      </c>
      <c r="J130" s="111"/>
      <c r="K130" s="117">
        <f>SUM(K120:K129)</f>
        <v>523937</v>
      </c>
      <c r="L130" s="111"/>
      <c r="M130" s="117">
        <f ca="1">SUM(M120:M129)</f>
        <v>-118245.22971612646</v>
      </c>
      <c r="N130" s="111"/>
      <c r="O130" s="117">
        <f>SUM(O120:O129)</f>
        <v>0</v>
      </c>
      <c r="P130" s="111"/>
      <c r="Q130" s="117">
        <f ca="1">SUM(Q120:Q129)</f>
        <v>609091.77028387354</v>
      </c>
    </row>
    <row r="131" spans="2:17" ht="14.1" customHeight="1" thickTop="1">
      <c r="B131" s="22"/>
      <c r="G131" s="112"/>
      <c r="I131" s="108"/>
      <c r="K131" s="108"/>
      <c r="M131" s="108"/>
      <c r="O131" s="108"/>
      <c r="Q131" s="108"/>
    </row>
    <row r="132" spans="2:17" ht="14.1" customHeight="1">
      <c r="B132" s="98" t="s">
        <v>432</v>
      </c>
      <c r="G132" s="112"/>
      <c r="I132" s="108"/>
      <c r="K132" s="108"/>
      <c r="M132" s="108"/>
      <c r="O132" s="108"/>
      <c r="Q132" s="108"/>
    </row>
    <row r="133" spans="2:17" ht="14.1" customHeight="1">
      <c r="B133" s="136" t="s">
        <v>32</v>
      </c>
      <c r="C133" s="137"/>
      <c r="D133" s="109"/>
      <c r="E133" s="109"/>
      <c r="F133" s="109"/>
      <c r="G133" s="110"/>
      <c r="H133" s="114"/>
      <c r="I133" s="135">
        <v>0</v>
      </c>
      <c r="J133" s="114"/>
      <c r="K133" s="135">
        <v>0</v>
      </c>
      <c r="L133" s="114"/>
      <c r="M133" s="135">
        <v>0</v>
      </c>
      <c r="N133" s="114"/>
      <c r="O133" s="135">
        <v>0</v>
      </c>
      <c r="P133" s="114"/>
      <c r="Q133" s="138">
        <f t="shared" ref="Q133:Q136" si="110">I133+K133+M133+O133</f>
        <v>0</v>
      </c>
    </row>
    <row r="134" spans="2:17" ht="14.1" customHeight="1">
      <c r="B134" s="25" t="s">
        <v>33</v>
      </c>
      <c r="G134" s="112"/>
      <c r="I134" s="108">
        <v>0</v>
      </c>
      <c r="K134" s="108">
        <v>0</v>
      </c>
      <c r="M134" s="108">
        <v>0</v>
      </c>
      <c r="O134" s="108">
        <v>0</v>
      </c>
      <c r="Q134" s="131">
        <f t="shared" si="110"/>
        <v>0</v>
      </c>
    </row>
    <row r="135" spans="2:17" ht="14.1" customHeight="1">
      <c r="B135" s="136" t="s">
        <v>590</v>
      </c>
      <c r="C135" s="137"/>
      <c r="D135" s="109"/>
      <c r="E135" s="109"/>
      <c r="F135" s="109"/>
      <c r="G135" s="110"/>
      <c r="H135" s="114"/>
      <c r="I135" s="135">
        <v>0</v>
      </c>
      <c r="J135" s="114"/>
      <c r="K135" s="135">
        <v>0</v>
      </c>
      <c r="L135" s="114"/>
      <c r="M135" s="135">
        <v>0</v>
      </c>
      <c r="N135" s="114"/>
      <c r="O135" s="135">
        <v>0</v>
      </c>
      <c r="P135" s="114"/>
      <c r="Q135" s="138">
        <f t="shared" si="110"/>
        <v>0</v>
      </c>
    </row>
    <row r="136" spans="2:17" ht="14.1" customHeight="1" thickBot="1">
      <c r="B136" s="106" t="str">
        <f>"Total "&amp;B132&amp;" Contributions"</f>
        <v>Total Outside Restricted Contributions</v>
      </c>
      <c r="C136" s="90"/>
      <c r="D136" s="101"/>
      <c r="E136" s="102"/>
      <c r="F136" s="101"/>
      <c r="G136" s="113"/>
      <c r="H136" s="111"/>
      <c r="I136" s="117">
        <f>SUM(I131:I135)</f>
        <v>0</v>
      </c>
      <c r="J136" s="111"/>
      <c r="K136" s="117">
        <f>SUM(K131:K135)</f>
        <v>0</v>
      </c>
      <c r="L136" s="111"/>
      <c r="M136" s="117">
        <f>SUM(M131:M135)</f>
        <v>0</v>
      </c>
      <c r="N136" s="111"/>
      <c r="O136" s="117">
        <f>SUM(O131:O135)</f>
        <v>0</v>
      </c>
      <c r="P136" s="111"/>
      <c r="Q136" s="129">
        <f t="shared" si="110"/>
        <v>0</v>
      </c>
    </row>
    <row r="137" spans="2:17" ht="14.1" customHeight="1" thickTop="1">
      <c r="G137" s="112"/>
      <c r="I137" s="108"/>
      <c r="K137" s="108"/>
      <c r="M137" s="108"/>
      <c r="O137" s="108"/>
      <c r="Q137" s="108"/>
    </row>
    <row r="138" spans="2:17" ht="14.1" customHeight="1">
      <c r="B138" s="141" t="s">
        <v>601</v>
      </c>
      <c r="C138" s="142"/>
      <c r="D138" s="143"/>
      <c r="E138" s="143"/>
      <c r="F138" s="143"/>
      <c r="G138" s="144"/>
      <c r="H138" s="145"/>
      <c r="I138" s="146">
        <f ca="1">ROUND(I109-SUM(I118,I130,I136),-2)</f>
        <v>0</v>
      </c>
      <c r="J138" s="145"/>
      <c r="K138" s="146">
        <f ca="1">ROUND(K109-SUM(K118,K130,K136),-2)</f>
        <v>0</v>
      </c>
      <c r="L138" s="145"/>
      <c r="M138" s="146">
        <f ca="1">ROUND(M109-SUM(M118,M130,M136),-2)</f>
        <v>0</v>
      </c>
      <c r="N138" s="145"/>
      <c r="O138" s="146">
        <f ca="1">ROUND(O109-SUM(O118,O130,O136),-2)</f>
        <v>0</v>
      </c>
      <c r="P138" s="145"/>
      <c r="Q138" s="146">
        <f ca="1">ROUND(Q109-SUM(Q118,Q130,Q136),-2)</f>
        <v>0</v>
      </c>
    </row>
  </sheetData>
  <mergeCells count="5">
    <mergeCell ref="I6:J6"/>
    <mergeCell ref="K6:L6"/>
    <mergeCell ref="M6:N6"/>
    <mergeCell ref="O6:P6"/>
    <mergeCell ref="B2:B3"/>
  </mergeCells>
  <pageMargins left="0.7" right="0.7" top="0.75" bottom="0.75" header="0.3" footer="0.3"/>
  <pageSetup paperSize="3" scale="93" fitToHeight="0" orientation="landscape" r:id="rId1"/>
  <headerFooter alignWithMargins="0"/>
  <rowBreaks count="2" manualBreakCount="2">
    <brk id="50" max="16383" man="1"/>
    <brk id="91" max="16383" man="1"/>
  </rowBreaks>
  <ignoredErrors>
    <ignoredError sqref="K21:O27 K31:P50 K53:O62 K63:P86 H95 H87 H60 H50 H39 H35 H28 H15 H97 H103 K104:P105 K94:P101 K102 M102 O102 L103 N103 P103 K107:P107 L106:P106" formula="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B2:IS64"/>
  <sheetViews>
    <sheetView workbookViewId="0">
      <selection activeCell="F34" sqref="F34"/>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E32</f>
        <v>4000</v>
      </c>
      <c r="K2" s="120">
        <f t="shared" ref="K2:M2" si="0">F32</f>
        <v>0</v>
      </c>
      <c r="L2" s="120">
        <f t="shared" si="0"/>
        <v>4000</v>
      </c>
      <c r="M2" s="120">
        <f t="shared" si="0"/>
        <v>4000</v>
      </c>
    </row>
    <row r="3" spans="2:13" ht="14.1" customHeight="1">
      <c r="B3" s="40"/>
      <c r="C3" s="40"/>
      <c r="D3" s="40"/>
      <c r="E3" s="40"/>
      <c r="F3" s="40"/>
      <c r="G3" s="40"/>
      <c r="H3" s="40"/>
      <c r="J3" s="121">
        <f>C37</f>
        <v>1</v>
      </c>
      <c r="K3" s="121"/>
      <c r="L3" s="121"/>
      <c r="M3" s="121"/>
    </row>
    <row r="4" spans="2:13" ht="23.25" customHeight="1">
      <c r="B4" s="40"/>
      <c r="C4" s="40"/>
      <c r="D4" s="40"/>
      <c r="E4" s="316" t="s">
        <v>1</v>
      </c>
      <c r="F4" s="316"/>
      <c r="G4" s="41"/>
      <c r="H4" s="40"/>
      <c r="J4" s="121">
        <f t="shared" ref="J4:J6" si="1">C38</f>
        <v>0</v>
      </c>
    </row>
    <row r="5" spans="2:13" ht="14.1" customHeight="1">
      <c r="B5" s="42"/>
      <c r="C5" s="42"/>
      <c r="D5" s="312" t="str">
        <f>'Operating Budget'!B24</f>
        <v>Annual Water Quality Report</v>
      </c>
      <c r="E5" s="312"/>
      <c r="F5" s="312"/>
      <c r="G5" s="312"/>
      <c r="H5" s="43"/>
      <c r="J5" s="121">
        <f t="shared" si="1"/>
        <v>0</v>
      </c>
    </row>
    <row r="6" spans="2:13" ht="19.5" customHeight="1">
      <c r="B6" s="40"/>
      <c r="C6" s="40"/>
      <c r="D6" s="40"/>
      <c r="E6" s="40"/>
      <c r="H6" s="40"/>
      <c r="J6" s="121">
        <f t="shared" si="1"/>
        <v>0</v>
      </c>
    </row>
    <row r="7" spans="2:13" ht="14.1" customHeight="1">
      <c r="B7" s="40"/>
      <c r="C7" s="40"/>
      <c r="D7" s="40"/>
      <c r="E7" s="40"/>
      <c r="F7" s="44"/>
      <c r="G7" s="44"/>
      <c r="H7" s="40"/>
    </row>
    <row r="8" spans="2:13" ht="14.1" customHeight="1">
      <c r="B8" s="41" t="s">
        <v>2</v>
      </c>
      <c r="C8" s="40">
        <f>'Operating Budget'!C24</f>
        <v>4225</v>
      </c>
      <c r="D8" s="40"/>
      <c r="E8" s="40"/>
      <c r="F8" s="40"/>
      <c r="G8" s="40"/>
      <c r="H8" s="40"/>
    </row>
    <row r="9" spans="2:13" ht="14.1" customHeight="1">
      <c r="B9" s="41" t="s">
        <v>3</v>
      </c>
      <c r="C9" s="40">
        <f>INDEX('Operating Budget'!$A$11:$A$107,MATCH('7'!C8,'Operating Budget'!C11:C107))</f>
        <v>7</v>
      </c>
      <c r="D9" s="40"/>
      <c r="E9" s="40"/>
      <c r="F9" s="40"/>
      <c r="G9" s="40"/>
      <c r="H9" s="40"/>
    </row>
    <row r="10" spans="2:13" ht="14.1" customHeight="1">
      <c r="B10" s="40"/>
      <c r="C10" s="40"/>
      <c r="D10" s="40"/>
      <c r="E10" s="40"/>
      <c r="F10" s="40"/>
      <c r="G10" s="202"/>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53</v>
      </c>
      <c r="C13" s="319"/>
      <c r="D13" s="319"/>
      <c r="E13" s="319"/>
      <c r="F13" s="319"/>
      <c r="G13" s="319"/>
      <c r="H13" s="319"/>
    </row>
    <row r="14" spans="2:13" ht="14.1" hidden="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row>
    <row r="17" spans="2:13" ht="14.1" customHeight="1">
      <c r="B17" s="319" t="s">
        <v>43</v>
      </c>
      <c r="C17" s="319"/>
      <c r="D17" s="319"/>
      <c r="E17" s="319"/>
      <c r="F17" s="319"/>
      <c r="G17" s="319"/>
      <c r="H17" s="319"/>
    </row>
    <row r="18" spans="2:13" ht="14.1" hidden="1" customHeight="1">
      <c r="B18" s="319"/>
      <c r="C18" s="319"/>
      <c r="D18" s="319"/>
      <c r="E18" s="319"/>
      <c r="F18" s="319"/>
      <c r="G18" s="319"/>
      <c r="H18" s="319"/>
    </row>
    <row r="19" spans="2:13" ht="14.1" customHeight="1">
      <c r="B19" s="310"/>
      <c r="C19" s="310"/>
      <c r="D19" s="310"/>
      <c r="E19" s="310"/>
      <c r="F19" s="310"/>
      <c r="G19" s="310"/>
      <c r="H19" s="310"/>
    </row>
    <row r="20" spans="2:13" s="5" customFormat="1" ht="14.1" customHeight="1">
      <c r="B20" s="36" t="s">
        <v>7</v>
      </c>
      <c r="C20" s="37"/>
      <c r="D20" s="37"/>
      <c r="E20" s="37"/>
      <c r="F20" s="37"/>
      <c r="G20" s="37"/>
      <c r="H20" s="38"/>
    </row>
    <row r="21" spans="2:13" s="5" customFormat="1" ht="14.1" customHeight="1">
      <c r="B21" s="40"/>
      <c r="C21" s="41"/>
      <c r="D21" s="40"/>
      <c r="E21" s="40"/>
      <c r="F21" s="40"/>
      <c r="G21" s="40"/>
      <c r="H21" s="40"/>
    </row>
    <row r="22" spans="2:13" s="5" customFormat="1" ht="14.1" customHeight="1">
      <c r="B22" s="67" t="str">
        <f>$D$5</f>
        <v>Annual Water Quality Report</v>
      </c>
      <c r="C22" s="67"/>
      <c r="D22" s="68"/>
      <c r="E22" s="68"/>
      <c r="F22" s="68" t="s">
        <v>10</v>
      </c>
      <c r="G22" s="69" t="s">
        <v>31</v>
      </c>
      <c r="H22" s="40"/>
      <c r="J22" s="73" t="s">
        <v>32</v>
      </c>
      <c r="K22" s="73" t="s">
        <v>33</v>
      </c>
      <c r="L22" s="73" t="s">
        <v>34</v>
      </c>
      <c r="M22" s="73" t="s">
        <v>35</v>
      </c>
    </row>
    <row r="23" spans="2:13" s="5" customFormat="1" ht="14.1" customHeight="1">
      <c r="B23" s="64" t="s">
        <v>54</v>
      </c>
      <c r="C23" s="57"/>
      <c r="D23" s="80"/>
      <c r="E23" s="66"/>
      <c r="F23" s="66">
        <v>4000</v>
      </c>
      <c r="G23" s="71" t="s">
        <v>37</v>
      </c>
      <c r="H23" s="40"/>
      <c r="J23" s="74">
        <f>INDEX(MASTER!$C$25:$F$42,MATCH($G23,allocation,0),MATCH(J$22,MASTER!$C$24:$F$24,0))</f>
        <v>1</v>
      </c>
      <c r="K23" s="74">
        <f>INDEX(MASTER!$C$25:$F$42,MATCH($G23,allocation,0),MATCH(K$22,MASTER!$C$24:$F$24,0))</f>
        <v>0</v>
      </c>
      <c r="L23" s="74">
        <f>INDEX(MASTER!$C$25:$F$42,MATCH($G23,allocation,0),MATCH(L$22,MASTER!$C$24:$F$24,0))</f>
        <v>0</v>
      </c>
      <c r="M23" s="74">
        <f>INDEX(MASTER!$C$25:$F$42,MATCH($G23,allocation,0),MATCH(M$22,MASTER!$C$24:$F$24,0))</f>
        <v>0</v>
      </c>
    </row>
    <row r="24" spans="2:13" s="5" customFormat="1" ht="14.1" customHeight="1" thickBot="1">
      <c r="B24" s="49" t="s">
        <v>10</v>
      </c>
      <c r="C24" s="49"/>
      <c r="D24" s="49"/>
      <c r="E24" s="49"/>
      <c r="F24" s="50">
        <f>SUM(F23:F23)</f>
        <v>4000</v>
      </c>
      <c r="G24" s="49"/>
      <c r="H24" s="40"/>
    </row>
    <row r="25" spans="2:13" s="5" customFormat="1" ht="14.1" customHeight="1" thickTop="1">
      <c r="B25" s="40"/>
      <c r="C25" s="41"/>
      <c r="G25" s="40"/>
      <c r="H25" s="40"/>
    </row>
    <row r="26" spans="2:13" s="5" customFormat="1" ht="14.1" customHeight="1">
      <c r="B26" s="41" t="s">
        <v>11</v>
      </c>
      <c r="C26" s="35">
        <f>ROUNDUP($F$24,-$B$27)</f>
        <v>4000</v>
      </c>
      <c r="F26" s="40"/>
      <c r="G26" s="40"/>
      <c r="H26" s="40"/>
    </row>
    <row r="27" spans="2:13" s="5" customFormat="1" ht="14.1" customHeight="1">
      <c r="B27" s="51">
        <v>2</v>
      </c>
      <c r="C27" s="41"/>
      <c r="D27" s="40"/>
      <c r="E27" s="40"/>
      <c r="F27" s="40"/>
      <c r="G27" s="40"/>
      <c r="H27" s="40"/>
    </row>
    <row r="28" spans="2:13" s="5" customFormat="1" ht="14.1" customHeight="1">
      <c r="B28" s="40"/>
      <c r="C28" s="41"/>
      <c r="D28" s="40"/>
      <c r="E28" s="40"/>
      <c r="F28" s="40"/>
      <c r="G28" s="40"/>
      <c r="H28" s="40"/>
    </row>
    <row r="29" spans="2:13" s="5" customFormat="1" ht="14.1" customHeight="1">
      <c r="B29" s="40"/>
      <c r="C29" s="41"/>
      <c r="D29" s="40"/>
      <c r="E29" s="53" t="s">
        <v>12</v>
      </c>
      <c r="F29" s="54" t="s">
        <v>13</v>
      </c>
      <c r="G29" s="54" t="s">
        <v>14</v>
      </c>
      <c r="H29" s="55" t="s">
        <v>15</v>
      </c>
    </row>
    <row r="30" spans="2:13" s="5" customFormat="1" ht="14.1" customHeight="1">
      <c r="B30" s="36"/>
      <c r="C30" s="36"/>
      <c r="D30" s="36"/>
      <c r="E30" s="53" t="str">
        <f>"FY "&amp;MASTER!$B$4-1&amp;" - "&amp;MASTER!$B$4</f>
        <v>FY 2020 - 2021</v>
      </c>
      <c r="F30" s="56">
        <f>MASTER!$B$6</f>
        <v>44255</v>
      </c>
      <c r="G30" s="54" t="str">
        <f>"June "&amp;MASTER!$B$4</f>
        <v>June 2021</v>
      </c>
      <c r="H30" s="55" t="str">
        <f>"FY "&amp;MASTER!$B$4&amp;" - "&amp;MASTER!$B$5</f>
        <v>FY 2021 - 2022</v>
      </c>
    </row>
    <row r="31" spans="2:13" s="5" customFormat="1" ht="14.1" customHeight="1">
      <c r="B31" s="57"/>
      <c r="C31" s="57"/>
      <c r="D31" s="58"/>
      <c r="E31" s="59"/>
      <c r="F31" s="60"/>
      <c r="G31" s="60"/>
      <c r="H31" s="58"/>
    </row>
    <row r="32" spans="2:13" s="5" customFormat="1" ht="14.1" customHeight="1">
      <c r="B32" s="40" t="str">
        <f>$D$5</f>
        <v>Annual Water Quality Report</v>
      </c>
      <c r="C32" s="41"/>
      <c r="D32" s="58"/>
      <c r="E32" s="61">
        <v>4000</v>
      </c>
      <c r="F32" s="62">
        <v>0</v>
      </c>
      <c r="G32" s="62">
        <v>4000</v>
      </c>
      <c r="H32" s="63">
        <f>C26</f>
        <v>4000</v>
      </c>
    </row>
    <row r="33" spans="2:253" s="5" customFormat="1" ht="14.1" customHeight="1">
      <c r="B33" s="40"/>
      <c r="C33" s="41"/>
      <c r="D33" s="58"/>
      <c r="E33" s="59"/>
      <c r="F33" s="59"/>
      <c r="G33" s="58"/>
      <c r="H33" s="82"/>
    </row>
    <row r="34" spans="2:253" s="5" customFormat="1" ht="14.1" customHeight="1">
      <c r="B34" s="2"/>
      <c r="C34" s="1"/>
    </row>
    <row r="35" spans="2:253" s="5" customFormat="1" ht="14.1" customHeight="1">
      <c r="B35" s="2"/>
      <c r="C35" s="1"/>
    </row>
    <row r="36" spans="2:253" s="5" customFormat="1" ht="14.1" customHeight="1">
      <c r="B36" s="36" t="s">
        <v>39</v>
      </c>
      <c r="C36" s="36"/>
      <c r="D36" s="55" t="s">
        <v>40</v>
      </c>
      <c r="E36" s="55" t="s">
        <v>41</v>
      </c>
    </row>
    <row r="37" spans="2:253" s="5" customFormat="1" ht="14.1" customHeight="1">
      <c r="B37" s="75" t="s">
        <v>32</v>
      </c>
      <c r="C37" s="84">
        <f>E37/E41</f>
        <v>1</v>
      </c>
      <c r="D37" s="78">
        <f>SUMPRODUCT($F$23:$F$23,$J$23:$J$23)</f>
        <v>4000</v>
      </c>
      <c r="E37" s="78">
        <f>$D37+(C26-SUM(D37:D40))*($D37/$D$41)</f>
        <v>4000</v>
      </c>
    </row>
    <row r="38" spans="2:253" s="5" customFormat="1" ht="14.1" customHeight="1">
      <c r="B38" s="75" t="s">
        <v>33</v>
      </c>
      <c r="C38" s="84">
        <f>E38/E41</f>
        <v>0</v>
      </c>
      <c r="D38" s="78">
        <f>SUMPRODUCT($F$23:$F$23,$K$23:$K$23)</f>
        <v>0</v>
      </c>
      <c r="E38" s="78">
        <f>$D38+(C27-SUM(D38:D41))*($D38/$D$41)</f>
        <v>0</v>
      </c>
    </row>
    <row r="39" spans="2:253" s="5" customFormat="1" ht="14.1" customHeight="1">
      <c r="B39" s="75" t="s">
        <v>34</v>
      </c>
      <c r="C39" s="84">
        <f>E39/E41</f>
        <v>0</v>
      </c>
      <c r="D39" s="78">
        <f>SUMPRODUCT($F$23:$F$23,$L$23:$L$23)</f>
        <v>0</v>
      </c>
      <c r="E39" s="78">
        <f>$D39+(C28-SUM(D39:D42))*($D39/$D$41)</f>
        <v>0</v>
      </c>
    </row>
    <row r="40" spans="2:253" s="5" customFormat="1" ht="14.1" customHeight="1">
      <c r="B40" s="75" t="s">
        <v>35</v>
      </c>
      <c r="C40" s="84">
        <f>E40/E41</f>
        <v>0</v>
      </c>
      <c r="D40" s="78">
        <f>SUMPRODUCT($F$23:$F$23,$M$23:$M$23)</f>
        <v>0</v>
      </c>
      <c r="E40" s="78">
        <f>$D40+(C29-SUM(D40:D43))*($D40/$D$41)</f>
        <v>0</v>
      </c>
    </row>
    <row r="41" spans="2:253" s="5" customFormat="1" ht="12.75" customHeight="1">
      <c r="B41" s="77" t="s">
        <v>10</v>
      </c>
      <c r="C41" s="85">
        <f>SUM(C37:C40)</f>
        <v>1</v>
      </c>
      <c r="D41" s="79">
        <f>SUM(D37:D40)</f>
        <v>4000</v>
      </c>
      <c r="E41" s="79">
        <f>SUM(E37:E40)</f>
        <v>4000</v>
      </c>
    </row>
    <row r="42" spans="2:253" s="5" customFormat="1" ht="12.75" customHeight="1">
      <c r="B42" s="2"/>
      <c r="C42" s="2"/>
      <c r="D42" s="2"/>
      <c r="E42" s="76"/>
    </row>
    <row r="43" spans="2:253" s="5" customFormat="1" ht="12.75" customHeight="1">
      <c r="E43" s="20"/>
      <c r="F43" s="6"/>
    </row>
    <row r="44" spans="2:253" s="5" customFormat="1" ht="12.75" customHeight="1">
      <c r="E44" s="20"/>
    </row>
    <row r="45" spans="2:253" s="5" customFormat="1" ht="12.75" customHeight="1">
      <c r="D45" s="21"/>
      <c r="E45" s="20"/>
    </row>
    <row r="46" spans="2:253" s="5" customFormat="1" ht="12.75" customHeight="1">
      <c r="D46" s="21"/>
      <c r="E46" s="20"/>
    </row>
    <row r="47" spans="2:253" s="5" customFormat="1" ht="12.75" customHeight="1">
      <c r="E47" s="20"/>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row>
    <row r="48" spans="2:253" s="5" customFormat="1" ht="12.75" customHeight="1">
      <c r="D48" s="21"/>
      <c r="E48" s="20"/>
    </row>
    <row r="49" spans="4:5" s="5" customFormat="1" ht="12.75" customHeight="1">
      <c r="E49" s="20"/>
    </row>
    <row r="50" spans="4:5" ht="12.75" customHeight="1">
      <c r="E50" s="20"/>
    </row>
    <row r="51" spans="4:5" ht="12.75" customHeight="1">
      <c r="E51" s="4"/>
    </row>
    <row r="52" spans="4:5">
      <c r="E52" s="3"/>
    </row>
    <row r="64" spans="4:5">
      <c r="D64" s="3"/>
      <c r="E64" s="3"/>
    </row>
  </sheetData>
  <mergeCells count="4">
    <mergeCell ref="E4:F4"/>
    <mergeCell ref="D5:G5"/>
    <mergeCell ref="B13:H14"/>
    <mergeCell ref="B17:H18"/>
  </mergeCells>
  <dataValidations disablePrompts="1" count="2">
    <dataValidation type="list" allowBlank="1" showInputMessage="1" showErrorMessage="1" sqref="G23" xr:uid="{00000000-0002-0000-0C00-000000000000}">
      <formula1>allocation</formula1>
    </dataValidation>
    <dataValidation type="list" allowBlank="1" showInputMessage="1" showErrorMessage="1" sqref="E4" xr:uid="{00000000-0002-0000-0C00-000001000000}">
      <formula1>enterprise</formula1>
    </dataValidation>
  </dataValidations>
  <pageMargins left="0.7" right="0.7" top="0.75" bottom="0.75" header="0.3" footer="0.3"/>
  <pageSetup scale="94" orientation="portrait"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3:G51"/>
  <sheetViews>
    <sheetView topLeftCell="B13" workbookViewId="0">
      <selection activeCell="B7" sqref="B7"/>
    </sheetView>
  </sheetViews>
  <sheetFormatPr defaultColWidth="8.85546875" defaultRowHeight="12.75"/>
  <cols>
    <col min="1" max="1" width="22.42578125" customWidth="1"/>
    <col min="2" max="9" width="18.7109375" customWidth="1"/>
  </cols>
  <sheetData>
    <row r="3" spans="1:4" ht="12.75" customHeight="1">
      <c r="A3" s="3" t="s">
        <v>602</v>
      </c>
      <c r="B3" s="326" t="s">
        <v>153</v>
      </c>
      <c r="C3" s="326"/>
      <c r="D3" s="326"/>
    </row>
    <row r="4" spans="1:4" ht="12.75" customHeight="1">
      <c r="A4" s="3" t="s">
        <v>603</v>
      </c>
      <c r="B4" s="33">
        <v>2021</v>
      </c>
    </row>
    <row r="5" spans="1:4" ht="12.75" customHeight="1">
      <c r="A5" s="3" t="s">
        <v>604</v>
      </c>
      <c r="B5" s="33">
        <v>2022</v>
      </c>
    </row>
    <row r="6" spans="1:4" ht="12.75" customHeight="1">
      <c r="A6" s="3" t="s">
        <v>605</v>
      </c>
      <c r="B6" s="34">
        <v>44255</v>
      </c>
    </row>
    <row r="7" spans="1:4" ht="12.75" customHeight="1">
      <c r="B7" s="5"/>
    </row>
    <row r="8" spans="1:4" ht="12.75" customHeight="1">
      <c r="A8" s="5"/>
    </row>
    <row r="9" spans="1:4" ht="12.75" customHeight="1">
      <c r="A9" s="5"/>
    </row>
    <row r="10" spans="1:4" ht="12.75" customHeight="1">
      <c r="A10" s="3" t="s">
        <v>606</v>
      </c>
    </row>
    <row r="11" spans="1:4" ht="12.75" customHeight="1">
      <c r="A11" s="5" t="s">
        <v>1</v>
      </c>
    </row>
    <row r="12" spans="1:4" ht="12.75" customHeight="1">
      <c r="A12" s="5" t="s">
        <v>16</v>
      </c>
    </row>
    <row r="13" spans="1:4" ht="12.75" customHeight="1">
      <c r="A13" s="5" t="s">
        <v>23</v>
      </c>
    </row>
    <row r="14" spans="1:4" ht="12.75" customHeight="1">
      <c r="A14" s="5" t="s">
        <v>138</v>
      </c>
    </row>
    <row r="15" spans="1:4" ht="12.75" customHeight="1">
      <c r="A15" s="5" t="s">
        <v>298</v>
      </c>
    </row>
    <row r="16" spans="1:4" ht="12.75" customHeight="1">
      <c r="A16" s="5" t="s">
        <v>308</v>
      </c>
    </row>
    <row r="17" spans="1:7" ht="12.75" customHeight="1">
      <c r="A17" s="5" t="s">
        <v>317</v>
      </c>
    </row>
    <row r="18" spans="1:7" ht="12.75" customHeight="1">
      <c r="A18" s="5" t="s">
        <v>118</v>
      </c>
    </row>
    <row r="19" spans="1:7" ht="12.75" customHeight="1">
      <c r="A19" s="5"/>
    </row>
    <row r="20" spans="1:7" ht="12.75" customHeight="1">
      <c r="A20" s="5"/>
    </row>
    <row r="21" spans="1:7" ht="12.75" customHeight="1">
      <c r="A21" s="5"/>
    </row>
    <row r="22" spans="1:7" ht="12.75" customHeight="1"/>
    <row r="23" spans="1:7" ht="12.75" customHeight="1"/>
    <row r="24" spans="1:7" ht="12.75" customHeight="1">
      <c r="A24" s="3" t="s">
        <v>607</v>
      </c>
      <c r="C24" s="23" t="s">
        <v>32</v>
      </c>
      <c r="D24" s="23" t="s">
        <v>33</v>
      </c>
      <c r="E24" s="23" t="s">
        <v>34</v>
      </c>
      <c r="F24" s="23" t="s">
        <v>35</v>
      </c>
      <c r="G24" s="23" t="s">
        <v>10</v>
      </c>
    </row>
    <row r="25" spans="1:7" ht="12.75" customHeight="1">
      <c r="A25" s="5" t="s">
        <v>37</v>
      </c>
      <c r="C25" s="32">
        <v>1</v>
      </c>
      <c r="D25" s="32">
        <v>0</v>
      </c>
      <c r="E25" s="32">
        <v>0</v>
      </c>
      <c r="F25" s="32">
        <v>0</v>
      </c>
      <c r="G25" s="31">
        <f t="shared" ref="G25:G42" si="0">SUM(C25:F25)</f>
        <v>1</v>
      </c>
    </row>
    <row r="26" spans="1:7" ht="12.75" customHeight="1">
      <c r="A26" s="5" t="s">
        <v>81</v>
      </c>
      <c r="C26" s="32">
        <v>0</v>
      </c>
      <c r="D26" s="32">
        <v>1</v>
      </c>
      <c r="E26" s="32">
        <v>0</v>
      </c>
      <c r="F26" s="32">
        <v>0</v>
      </c>
      <c r="G26" s="31">
        <f t="shared" si="0"/>
        <v>1</v>
      </c>
    </row>
    <row r="27" spans="1:7" ht="12.75" customHeight="1">
      <c r="A27" s="5" t="s">
        <v>117</v>
      </c>
      <c r="C27" s="32">
        <v>0</v>
      </c>
      <c r="D27" s="32">
        <v>0</v>
      </c>
      <c r="E27" s="32">
        <v>1</v>
      </c>
      <c r="F27" s="32">
        <v>0</v>
      </c>
      <c r="G27" s="31">
        <f t="shared" si="0"/>
        <v>1</v>
      </c>
    </row>
    <row r="28" spans="1:7" ht="12.75" customHeight="1">
      <c r="A28" s="5" t="s">
        <v>142</v>
      </c>
      <c r="C28" s="32">
        <v>0</v>
      </c>
      <c r="D28" s="32">
        <v>0</v>
      </c>
      <c r="E28" s="32">
        <v>0</v>
      </c>
      <c r="F28" s="32">
        <v>1</v>
      </c>
      <c r="G28" s="31">
        <f t="shared" si="0"/>
        <v>1</v>
      </c>
    </row>
    <row r="29" spans="1:7" ht="12.75" customHeight="1">
      <c r="A29" s="5" t="s">
        <v>128</v>
      </c>
      <c r="C29" s="32">
        <v>0.33</v>
      </c>
      <c r="D29" s="32">
        <v>0.34</v>
      </c>
      <c r="E29" s="32">
        <v>0.33</v>
      </c>
      <c r="F29" s="32">
        <v>0</v>
      </c>
      <c r="G29" s="31">
        <f t="shared" si="0"/>
        <v>1</v>
      </c>
    </row>
    <row r="30" spans="1:7" ht="12.75" customHeight="1">
      <c r="A30" s="5" t="s">
        <v>152</v>
      </c>
      <c r="C30" s="32">
        <v>0.39</v>
      </c>
      <c r="D30" s="32">
        <v>0.4</v>
      </c>
      <c r="E30" s="32">
        <v>0.19</v>
      </c>
      <c r="F30" s="32">
        <v>0.02</v>
      </c>
      <c r="G30" s="31">
        <f t="shared" si="0"/>
        <v>1</v>
      </c>
    </row>
    <row r="31" spans="1:7" ht="12.75" customHeight="1">
      <c r="A31" s="5" t="s">
        <v>608</v>
      </c>
      <c r="C31" s="32">
        <v>0.36</v>
      </c>
      <c r="D31" s="32">
        <v>0.42</v>
      </c>
      <c r="E31" s="32">
        <v>0.22</v>
      </c>
      <c r="F31" s="32">
        <v>0</v>
      </c>
      <c r="G31" s="31">
        <f t="shared" si="0"/>
        <v>1</v>
      </c>
    </row>
    <row r="32" spans="1:7" ht="12.75" customHeight="1">
      <c r="A32" s="5" t="s">
        <v>221</v>
      </c>
      <c r="C32" s="32">
        <v>0.41</v>
      </c>
      <c r="D32" s="32">
        <v>0.44</v>
      </c>
      <c r="E32" s="32">
        <v>0.15</v>
      </c>
      <c r="F32" s="32">
        <v>0</v>
      </c>
      <c r="G32" s="31">
        <f t="shared" si="0"/>
        <v>1</v>
      </c>
    </row>
    <row r="33" spans="1:7" ht="12.75" customHeight="1">
      <c r="A33" s="5" t="s">
        <v>256</v>
      </c>
      <c r="C33" s="32">
        <v>0.48499999999999999</v>
      </c>
      <c r="D33" s="32">
        <v>0.51500000000000001</v>
      </c>
      <c r="E33" s="32">
        <v>0</v>
      </c>
      <c r="F33" s="32">
        <v>0</v>
      </c>
      <c r="G33" s="31">
        <f t="shared" si="0"/>
        <v>1</v>
      </c>
    </row>
    <row r="34" spans="1:7" ht="12.75" customHeight="1">
      <c r="A34" s="5" t="s">
        <v>122</v>
      </c>
      <c r="C34" s="32">
        <v>0.43</v>
      </c>
      <c r="D34" s="32">
        <v>0.41</v>
      </c>
      <c r="E34" s="32">
        <v>0.14000000000000001</v>
      </c>
      <c r="F34" s="32">
        <v>0.02</v>
      </c>
      <c r="G34" s="31">
        <f t="shared" si="0"/>
        <v>1</v>
      </c>
    </row>
    <row r="35" spans="1:7" ht="12.75" customHeight="1">
      <c r="A35" s="5" t="s">
        <v>301</v>
      </c>
      <c r="C35" s="32">
        <v>0.35</v>
      </c>
      <c r="D35" s="32">
        <v>0.55000000000000004</v>
      </c>
      <c r="E35" s="32">
        <v>0.1</v>
      </c>
      <c r="F35" s="32">
        <v>0</v>
      </c>
      <c r="G35" s="31">
        <f t="shared" si="0"/>
        <v>1</v>
      </c>
    </row>
    <row r="36" spans="1:7" ht="12.75" customHeight="1">
      <c r="A36" s="5" t="s">
        <v>305</v>
      </c>
      <c r="C36" s="32">
        <v>0.1</v>
      </c>
      <c r="D36" s="32">
        <v>0.1</v>
      </c>
      <c r="E36" s="32">
        <v>0.1</v>
      </c>
      <c r="F36" s="32">
        <v>0.7</v>
      </c>
      <c r="G36" s="31">
        <f t="shared" si="0"/>
        <v>1</v>
      </c>
    </row>
    <row r="37" spans="1:7" ht="12.75" customHeight="1">
      <c r="A37" s="5" t="s">
        <v>609</v>
      </c>
      <c r="C37" s="32">
        <v>0</v>
      </c>
      <c r="D37" s="32">
        <v>0</v>
      </c>
      <c r="E37" s="32">
        <v>0</v>
      </c>
      <c r="F37" s="32">
        <v>0</v>
      </c>
      <c r="G37" s="31">
        <f t="shared" si="0"/>
        <v>0</v>
      </c>
    </row>
    <row r="38" spans="1:7" ht="12.75" customHeight="1">
      <c r="A38" s="5" t="s">
        <v>610</v>
      </c>
      <c r="C38" s="32">
        <v>0</v>
      </c>
      <c r="D38" s="32">
        <v>0</v>
      </c>
      <c r="E38" s="32">
        <v>0</v>
      </c>
      <c r="F38" s="32">
        <v>0</v>
      </c>
      <c r="G38" s="31">
        <f t="shared" si="0"/>
        <v>0</v>
      </c>
    </row>
    <row r="39" spans="1:7" ht="12.75" customHeight="1">
      <c r="A39" s="5" t="s">
        <v>611</v>
      </c>
      <c r="C39" s="32">
        <v>0</v>
      </c>
      <c r="D39" s="32">
        <v>0</v>
      </c>
      <c r="E39" s="32">
        <v>0</v>
      </c>
      <c r="F39" s="32">
        <v>0</v>
      </c>
      <c r="G39" s="31">
        <f t="shared" si="0"/>
        <v>0</v>
      </c>
    </row>
    <row r="40" spans="1:7" ht="12.75" customHeight="1">
      <c r="A40" s="5" t="s">
        <v>612</v>
      </c>
      <c r="C40" s="32">
        <v>0</v>
      </c>
      <c r="D40" s="32">
        <v>0</v>
      </c>
      <c r="E40" s="32">
        <v>0</v>
      </c>
      <c r="F40" s="32">
        <v>0</v>
      </c>
      <c r="G40" s="31">
        <f t="shared" si="0"/>
        <v>0</v>
      </c>
    </row>
    <row r="41" spans="1:7" ht="12.75" customHeight="1">
      <c r="A41" s="5" t="s">
        <v>613</v>
      </c>
      <c r="C41" s="32">
        <v>0</v>
      </c>
      <c r="D41" s="32">
        <v>0</v>
      </c>
      <c r="E41" s="32">
        <v>0</v>
      </c>
      <c r="F41" s="32">
        <v>0</v>
      </c>
      <c r="G41" s="31">
        <f t="shared" si="0"/>
        <v>0</v>
      </c>
    </row>
    <row r="42" spans="1:7" ht="12.75" customHeight="1">
      <c r="A42" s="5" t="s">
        <v>614</v>
      </c>
      <c r="C42" s="32">
        <v>0</v>
      </c>
      <c r="D42" s="32">
        <v>0</v>
      </c>
      <c r="E42" s="32">
        <v>0</v>
      </c>
      <c r="F42" s="32">
        <v>0</v>
      </c>
      <c r="G42" s="31">
        <f t="shared" si="0"/>
        <v>0</v>
      </c>
    </row>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sheetData>
  <mergeCells count="1">
    <mergeCell ref="B3:D3"/>
  </mergeCells>
  <pageMargins left="0.75" right="0.75" top="1" bottom="1" header="0.5" footer="0.5"/>
  <pageSetup orientation="portrait"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C5A31-391D-4C50-AC68-C0E584E0B729}">
  <dimension ref="A1"/>
  <sheetViews>
    <sheetView workbookViewId="0"/>
  </sheetViews>
  <sheetFormatPr defaultColWidth="8.85546875" defaultRowHeight="12.7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B2:IS66"/>
  <sheetViews>
    <sheetView topLeftCell="A3" workbookViewId="0">
      <selection activeCell="H27" sqref="H27"/>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E34</f>
        <v>2000</v>
      </c>
      <c r="K2" s="120">
        <f t="shared" ref="K2:M2" si="0">F34</f>
        <v>1420</v>
      </c>
      <c r="L2" s="120">
        <f t="shared" si="0"/>
        <v>2020</v>
      </c>
      <c r="M2" s="120">
        <f t="shared" si="0"/>
        <v>2600</v>
      </c>
    </row>
    <row r="3" spans="2:13" ht="14.1" customHeight="1">
      <c r="B3" s="40"/>
      <c r="C3" s="40"/>
      <c r="D3" s="40"/>
      <c r="E3" s="40"/>
      <c r="F3" s="40"/>
      <c r="G3" s="40"/>
      <c r="H3" s="40"/>
      <c r="J3" s="121">
        <f>C39</f>
        <v>1</v>
      </c>
      <c r="K3" s="121"/>
      <c r="L3" s="121"/>
      <c r="M3" s="121"/>
    </row>
    <row r="4" spans="2:13" ht="23.25" customHeight="1">
      <c r="B4" s="40"/>
      <c r="C4" s="40"/>
      <c r="D4" s="40"/>
      <c r="E4" s="316" t="s">
        <v>1</v>
      </c>
      <c r="F4" s="316"/>
      <c r="G4" s="41"/>
      <c r="H4" s="40"/>
      <c r="J4" s="121">
        <f t="shared" ref="J4:J6" si="1">C40</f>
        <v>0</v>
      </c>
    </row>
    <row r="5" spans="2:13" ht="14.1" customHeight="1">
      <c r="B5" s="42"/>
      <c r="C5" s="42"/>
      <c r="D5" s="312" t="str">
        <f>'Operating Budget'!B25</f>
        <v>Cross Connect Contract Charge</v>
      </c>
      <c r="E5" s="312"/>
      <c r="F5" s="312"/>
      <c r="G5" s="312"/>
      <c r="H5" s="43"/>
      <c r="J5" s="121">
        <f t="shared" si="1"/>
        <v>0</v>
      </c>
    </row>
    <row r="6" spans="2:13" ht="19.5" customHeight="1">
      <c r="B6" s="40"/>
      <c r="C6" s="40"/>
      <c r="D6" s="40"/>
      <c r="E6" s="40"/>
      <c r="H6" s="40"/>
      <c r="J6" s="121">
        <f t="shared" si="1"/>
        <v>0</v>
      </c>
    </row>
    <row r="7" spans="2:13" ht="14.1" customHeight="1">
      <c r="B7" s="40"/>
      <c r="C7" s="40"/>
      <c r="D7" s="40"/>
      <c r="E7" s="40"/>
      <c r="F7" s="44"/>
      <c r="G7" s="44"/>
      <c r="H7" s="40"/>
    </row>
    <row r="8" spans="2:13" ht="14.1" customHeight="1">
      <c r="B8" s="41" t="s">
        <v>2</v>
      </c>
      <c r="C8" s="40">
        <f>'Operating Budget'!C25</f>
        <v>4230</v>
      </c>
      <c r="D8" s="40"/>
      <c r="E8" s="40"/>
      <c r="F8" s="40"/>
      <c r="G8" s="40"/>
      <c r="H8" s="202"/>
    </row>
    <row r="9" spans="2:13" ht="14.1" customHeight="1">
      <c r="B9" s="41" t="s">
        <v>3</v>
      </c>
      <c r="C9" s="40">
        <f>INDEX('Operating Budget'!$A$11:$A$107,MATCH('8'!C8,'Operating Budget'!C11:C107))</f>
        <v>8</v>
      </c>
      <c r="D9" s="40"/>
      <c r="E9" s="40"/>
      <c r="F9" s="40"/>
      <c r="G9" s="40"/>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55</v>
      </c>
      <c r="C13" s="319"/>
      <c r="D13" s="319"/>
      <c r="E13" s="319"/>
      <c r="F13" s="319"/>
      <c r="G13" s="319"/>
      <c r="H13" s="319"/>
    </row>
    <row r="14" spans="2:13" ht="14.1" customHeight="1">
      <c r="B14" s="319"/>
      <c r="C14" s="319"/>
      <c r="D14" s="319"/>
      <c r="E14" s="319"/>
      <c r="F14" s="319"/>
      <c r="G14" s="319"/>
      <c r="H14" s="319"/>
    </row>
    <row r="15" spans="2:13" ht="14.1" customHeight="1">
      <c r="B15" s="319"/>
      <c r="C15" s="319"/>
      <c r="D15" s="319"/>
      <c r="E15" s="319"/>
      <c r="F15" s="319"/>
      <c r="G15" s="319"/>
      <c r="H15" s="319"/>
    </row>
    <row r="16" spans="2:13" ht="14.1" customHeight="1">
      <c r="B16" s="319"/>
      <c r="C16" s="319"/>
      <c r="D16" s="319"/>
      <c r="E16" s="319"/>
      <c r="F16" s="319"/>
      <c r="G16" s="319"/>
      <c r="H16" s="319"/>
    </row>
    <row r="17" spans="2:13" ht="14.1" customHeight="1">
      <c r="B17" s="45"/>
      <c r="C17" s="45"/>
      <c r="D17" s="45"/>
      <c r="E17" s="45"/>
      <c r="F17" s="45"/>
      <c r="G17" s="45"/>
      <c r="H17" s="45"/>
    </row>
    <row r="18" spans="2:13" ht="14.1" customHeight="1">
      <c r="B18" s="41" t="str">
        <f>"Changes for FY "&amp;MASTER!$B$4&amp;" - "&amp;MASTER!$B$5&amp;":"</f>
        <v>Changes for FY 2021 - 2022:</v>
      </c>
      <c r="C18" s="45"/>
      <c r="D18" s="45"/>
      <c r="E18" s="45"/>
      <c r="F18" s="45"/>
      <c r="G18" s="45"/>
      <c r="H18" s="45"/>
    </row>
    <row r="19" spans="2:13" ht="14.1" customHeight="1">
      <c r="B19" s="319" t="s">
        <v>56</v>
      </c>
      <c r="C19" s="319"/>
      <c r="D19" s="319"/>
      <c r="E19" s="319"/>
      <c r="F19" s="319"/>
      <c r="G19" s="319"/>
      <c r="H19" s="319"/>
    </row>
    <row r="20" spans="2:13" ht="14.1" hidden="1" customHeight="1">
      <c r="B20" s="319"/>
      <c r="C20" s="319"/>
      <c r="D20" s="319"/>
      <c r="E20" s="319"/>
      <c r="F20" s="319"/>
      <c r="G20" s="319"/>
      <c r="H20" s="319"/>
    </row>
    <row r="21" spans="2:13" ht="14.1" customHeight="1">
      <c r="B21" s="310"/>
      <c r="C21" s="310"/>
      <c r="D21" s="310"/>
      <c r="E21" s="310"/>
      <c r="F21" s="310"/>
      <c r="G21" s="310"/>
      <c r="H21" s="310"/>
    </row>
    <row r="22" spans="2:13" s="5" customFormat="1" ht="14.1" customHeight="1">
      <c r="B22" s="36" t="s">
        <v>7</v>
      </c>
      <c r="C22" s="37"/>
      <c r="D22" s="37"/>
      <c r="E22" s="37"/>
      <c r="F22" s="37"/>
      <c r="G22" s="37"/>
      <c r="H22" s="38"/>
    </row>
    <row r="23" spans="2:13" s="5" customFormat="1" ht="14.1" customHeight="1">
      <c r="B23" s="40"/>
      <c r="C23" s="41"/>
      <c r="D23" s="40"/>
      <c r="E23" s="40"/>
      <c r="F23" s="40"/>
      <c r="G23" s="40"/>
      <c r="H23" s="40"/>
    </row>
    <row r="24" spans="2:13" s="5" customFormat="1" ht="14.1" customHeight="1">
      <c r="B24" s="67" t="str">
        <f>$D$5</f>
        <v>Cross Connect Contract Charge</v>
      </c>
      <c r="C24" s="67"/>
      <c r="D24" s="68" t="s">
        <v>29</v>
      </c>
      <c r="E24" s="68" t="s">
        <v>30</v>
      </c>
      <c r="F24" s="68" t="s">
        <v>10</v>
      </c>
      <c r="G24" s="69" t="s">
        <v>31</v>
      </c>
      <c r="H24" s="40"/>
      <c r="J24" s="73" t="s">
        <v>32</v>
      </c>
      <c r="K24" s="73" t="s">
        <v>33</v>
      </c>
      <c r="L24" s="73" t="s">
        <v>34</v>
      </c>
      <c r="M24" s="73" t="s">
        <v>35</v>
      </c>
    </row>
    <row r="25" spans="2:13" s="5" customFormat="1" ht="14.1" customHeight="1">
      <c r="B25" s="64" t="s">
        <v>57</v>
      </c>
      <c r="C25" s="57"/>
      <c r="D25" s="80">
        <v>4</v>
      </c>
      <c r="E25" s="66">
        <v>650</v>
      </c>
      <c r="F25" s="66">
        <f>D25*E25</f>
        <v>2600</v>
      </c>
      <c r="G25" s="71" t="s">
        <v>37</v>
      </c>
      <c r="H25" s="40"/>
      <c r="J25" s="74">
        <f>INDEX(MASTER!$C$25:$F$42,MATCH($G25,allocation,0),MATCH(J$24,MASTER!$C$24:$F$24,0))</f>
        <v>1</v>
      </c>
      <c r="K25" s="74">
        <f>INDEX(MASTER!$C$25:$F$42,MATCH($G25,allocation,0),MATCH(K$24,MASTER!$C$24:$F$24,0))</f>
        <v>0</v>
      </c>
      <c r="L25" s="74">
        <f>INDEX(MASTER!$C$25:$F$42,MATCH($G25,allocation,0),MATCH(L$24,MASTER!$C$24:$F$24,0))</f>
        <v>0</v>
      </c>
      <c r="M25" s="74">
        <f>INDEX(MASTER!$C$25:$F$42,MATCH($G25,allocation,0),MATCH(M$24,MASTER!$C$24:$F$24,0))</f>
        <v>0</v>
      </c>
    </row>
    <row r="26" spans="2:13" s="5" customFormat="1" ht="14.1" customHeight="1" thickBot="1">
      <c r="B26" s="49" t="s">
        <v>10</v>
      </c>
      <c r="C26" s="49"/>
      <c r="D26" s="49"/>
      <c r="E26" s="49"/>
      <c r="F26" s="50">
        <f>SUM(F25:F25)</f>
        <v>2600</v>
      </c>
      <c r="G26" s="49"/>
      <c r="H26" s="40"/>
    </row>
    <row r="27" spans="2:13" s="5" customFormat="1" ht="14.1" customHeight="1" thickTop="1">
      <c r="B27" s="40"/>
      <c r="C27" s="41"/>
      <c r="G27" s="40"/>
      <c r="H27" s="40"/>
    </row>
    <row r="28" spans="2:13" s="5" customFormat="1" ht="14.1" customHeight="1">
      <c r="B28" s="41" t="s">
        <v>11</v>
      </c>
      <c r="C28" s="35">
        <f>ROUNDUP($F$26,-$B$29)</f>
        <v>2600</v>
      </c>
      <c r="F28" s="40"/>
      <c r="G28" s="40"/>
      <c r="H28" s="40"/>
    </row>
    <row r="29" spans="2:13" s="5" customFormat="1" ht="14.1" customHeight="1">
      <c r="B29" s="51">
        <v>2</v>
      </c>
      <c r="C29" s="41"/>
      <c r="D29" s="40"/>
      <c r="E29" s="40"/>
      <c r="F29" s="40"/>
      <c r="G29" s="40"/>
      <c r="H29" s="40"/>
    </row>
    <row r="30" spans="2:13" s="5" customFormat="1" ht="14.1" customHeight="1">
      <c r="B30" s="40"/>
      <c r="C30" s="41"/>
      <c r="D30" s="40"/>
      <c r="E30" s="40"/>
      <c r="F30" s="40"/>
      <c r="G30" s="40"/>
      <c r="H30" s="40"/>
    </row>
    <row r="31" spans="2:13" s="5" customFormat="1" ht="14.1" customHeight="1">
      <c r="B31" s="40"/>
      <c r="C31" s="41"/>
      <c r="D31" s="40"/>
      <c r="E31" s="53" t="s">
        <v>12</v>
      </c>
      <c r="F31" s="54" t="s">
        <v>13</v>
      </c>
      <c r="G31" s="54" t="s">
        <v>14</v>
      </c>
      <c r="H31" s="55" t="s">
        <v>15</v>
      </c>
    </row>
    <row r="32" spans="2:13" s="5" customFormat="1" ht="14.1" customHeight="1">
      <c r="B32" s="36"/>
      <c r="C32" s="36"/>
      <c r="D32" s="36"/>
      <c r="E32" s="53" t="str">
        <f>"FY "&amp;MASTER!$B$4-1&amp;" - "&amp;MASTER!$B$4</f>
        <v>FY 2020 - 2021</v>
      </c>
      <c r="F32" s="56">
        <f>MASTER!$B$6</f>
        <v>44255</v>
      </c>
      <c r="G32" s="54" t="str">
        <f>"June "&amp;MASTER!$B$4</f>
        <v>June 2021</v>
      </c>
      <c r="H32" s="55" t="str">
        <f>"FY "&amp;MASTER!$B$4&amp;" - "&amp;MASTER!$B$5</f>
        <v>FY 2021 - 2022</v>
      </c>
    </row>
    <row r="33" spans="2:8" s="5" customFormat="1" ht="14.1" customHeight="1">
      <c r="B33" s="57"/>
      <c r="C33" s="57"/>
      <c r="D33" s="58"/>
      <c r="E33" s="59"/>
      <c r="F33" s="60"/>
      <c r="G33" s="60"/>
      <c r="H33" s="58"/>
    </row>
    <row r="34" spans="2:8" s="5" customFormat="1" ht="14.1" customHeight="1">
      <c r="B34" s="40" t="str">
        <f>$D$5</f>
        <v>Cross Connect Contract Charge</v>
      </c>
      <c r="C34" s="41"/>
      <c r="D34" s="58"/>
      <c r="E34" s="61">
        <v>2000</v>
      </c>
      <c r="F34" s="62">
        <v>1420</v>
      </c>
      <c r="G34" s="62">
        <v>2020</v>
      </c>
      <c r="H34" s="63">
        <f>C28</f>
        <v>2600</v>
      </c>
    </row>
    <row r="35" spans="2:8" s="5" customFormat="1" ht="14.1" customHeight="1">
      <c r="B35" s="40"/>
      <c r="C35" s="41"/>
      <c r="D35" s="58"/>
      <c r="E35" s="59"/>
      <c r="F35" s="59"/>
      <c r="G35" s="58"/>
      <c r="H35" s="82"/>
    </row>
    <row r="36" spans="2:8" s="5" customFormat="1" ht="14.1" customHeight="1">
      <c r="B36" s="2"/>
      <c r="C36" s="1"/>
    </row>
    <row r="37" spans="2:8" s="5" customFormat="1" ht="14.1" customHeight="1">
      <c r="B37" s="2"/>
      <c r="C37" s="1"/>
    </row>
    <row r="38" spans="2:8" s="5" customFormat="1" ht="14.1" customHeight="1">
      <c r="B38" s="36" t="s">
        <v>39</v>
      </c>
      <c r="C38" s="36"/>
      <c r="D38" s="55" t="s">
        <v>40</v>
      </c>
      <c r="E38" s="55" t="s">
        <v>41</v>
      </c>
    </row>
    <row r="39" spans="2:8" s="5" customFormat="1" ht="14.1" customHeight="1">
      <c r="B39" s="75" t="s">
        <v>32</v>
      </c>
      <c r="C39" s="84">
        <f>E39/E43</f>
        <v>1</v>
      </c>
      <c r="D39" s="78">
        <f>SUMPRODUCT($F$25:$F$25,$J$25:$J$25)</f>
        <v>2600</v>
      </c>
      <c r="E39" s="78">
        <f>$D39+(C28-SUM(D39:D42))*($D39/$D$43)</f>
        <v>2600</v>
      </c>
    </row>
    <row r="40" spans="2:8" s="5" customFormat="1" ht="14.1" customHeight="1">
      <c r="B40" s="75" t="s">
        <v>33</v>
      </c>
      <c r="C40" s="84">
        <f>E40/E43</f>
        <v>0</v>
      </c>
      <c r="D40" s="78">
        <f>SUMPRODUCT($F$25:$F$25,$K$25:$K$25)</f>
        <v>0</v>
      </c>
      <c r="E40" s="78">
        <f>$D40+(C29-SUM(D40:D43))*($D40/$D$43)</f>
        <v>0</v>
      </c>
    </row>
    <row r="41" spans="2:8" s="5" customFormat="1" ht="14.1" customHeight="1">
      <c r="B41" s="75" t="s">
        <v>34</v>
      </c>
      <c r="C41" s="84">
        <f>E41/E43</f>
        <v>0</v>
      </c>
      <c r="D41" s="78">
        <f>SUMPRODUCT($F$25:$F$25,$L$25:$L$25)</f>
        <v>0</v>
      </c>
      <c r="E41" s="78">
        <f>$D41+(C30-SUM(D41:D44))*($D41/$D$43)</f>
        <v>0</v>
      </c>
    </row>
    <row r="42" spans="2:8" s="5" customFormat="1" ht="14.1" customHeight="1">
      <c r="B42" s="75" t="s">
        <v>35</v>
      </c>
      <c r="C42" s="84">
        <f>E42/E43</f>
        <v>0</v>
      </c>
      <c r="D42" s="78">
        <f>SUMPRODUCT($F$25:$F$25,$M$25:$M$25)</f>
        <v>0</v>
      </c>
      <c r="E42" s="78">
        <f>$D42+(C31-SUM(D42:D45))*($D42/$D$43)</f>
        <v>0</v>
      </c>
    </row>
    <row r="43" spans="2:8" s="5" customFormat="1" ht="12.75" customHeight="1">
      <c r="B43" s="77" t="s">
        <v>10</v>
      </c>
      <c r="C43" s="85">
        <f>SUM(C39:C42)</f>
        <v>1</v>
      </c>
      <c r="D43" s="79">
        <f>SUM(D39:D42)</f>
        <v>2600</v>
      </c>
      <c r="E43" s="79">
        <f>SUM(E39:E42)</f>
        <v>2600</v>
      </c>
    </row>
    <row r="44" spans="2:8" s="5" customFormat="1" ht="12.75" customHeight="1">
      <c r="B44" s="2"/>
      <c r="C44" s="2"/>
      <c r="D44" s="2"/>
      <c r="E44" s="76"/>
    </row>
    <row r="45" spans="2:8" s="5" customFormat="1" ht="12.75" customHeight="1">
      <c r="E45" s="20"/>
      <c r="F45" s="6"/>
    </row>
    <row r="46" spans="2:8" s="5" customFormat="1" ht="12.75" customHeight="1">
      <c r="E46" s="20"/>
    </row>
    <row r="47" spans="2:8" s="5" customFormat="1" ht="12.75" customHeight="1">
      <c r="D47" s="21"/>
      <c r="E47" s="20"/>
    </row>
    <row r="48" spans="2:8" s="5" customFormat="1" ht="12.75" customHeight="1">
      <c r="D48" s="21"/>
      <c r="E48" s="20"/>
    </row>
    <row r="49" spans="4:253" s="5" customFormat="1" ht="12.75" customHeight="1">
      <c r="E49" s="20"/>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row>
    <row r="50" spans="4:253" s="5" customFormat="1" ht="12.75" customHeight="1">
      <c r="D50" s="21"/>
      <c r="E50" s="20"/>
    </row>
    <row r="51" spans="4:253" s="5" customFormat="1" ht="12.75" customHeight="1">
      <c r="E51" s="20"/>
    </row>
    <row r="52" spans="4:253" ht="12.75" customHeight="1">
      <c r="E52" s="20"/>
    </row>
    <row r="53" spans="4:253" ht="12.75" customHeight="1">
      <c r="E53" s="4"/>
    </row>
    <row r="54" spans="4:253">
      <c r="E54" s="3"/>
    </row>
    <row r="66" spans="4:5">
      <c r="D66" s="3"/>
      <c r="E66" s="3"/>
    </row>
  </sheetData>
  <mergeCells count="4">
    <mergeCell ref="E4:F4"/>
    <mergeCell ref="D5:G5"/>
    <mergeCell ref="B19:H20"/>
    <mergeCell ref="B13:H16"/>
  </mergeCells>
  <dataValidations count="2">
    <dataValidation type="list" allowBlank="1" showInputMessage="1" showErrorMessage="1" sqref="E4" xr:uid="{00000000-0002-0000-0D00-000000000000}">
      <formula1>enterprise</formula1>
    </dataValidation>
    <dataValidation type="list" allowBlank="1" showInputMessage="1" showErrorMessage="1" sqref="G25" xr:uid="{00000000-0002-0000-0D00-000001000000}">
      <formula1>allocation</formula1>
    </dataValidation>
  </dataValidations>
  <pageMargins left="0.7" right="0.7" top="0.75" bottom="0.75" header="0.3" footer="0.3"/>
  <pageSetup scale="9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B2:IS80"/>
  <sheetViews>
    <sheetView topLeftCell="A12" workbookViewId="0">
      <selection activeCell="D33" sqref="D33"/>
    </sheetView>
  </sheetViews>
  <sheetFormatPr defaultColWidth="8.85546875" defaultRowHeight="12.75"/>
  <cols>
    <col min="2" max="2" width="15.140625" customWidth="1"/>
    <col min="3" max="8" width="13.7109375" customWidth="1"/>
  </cols>
  <sheetData>
    <row r="2" spans="2:13" ht="14.1" customHeight="1">
      <c r="B2" s="36" t="str">
        <f>"FY "&amp;MASTER!$B$4&amp;" - "&amp;MASTER!$B$5&amp;" OPERATING BUDGET"</f>
        <v>FY 2021 - 2022 OPERATING BUDGET</v>
      </c>
      <c r="C2" s="37"/>
      <c r="D2" s="37"/>
      <c r="E2" s="37"/>
      <c r="F2" s="37"/>
      <c r="G2" s="37"/>
      <c r="H2" s="39" t="s">
        <v>0</v>
      </c>
      <c r="J2" s="120">
        <f>E48</f>
        <v>130000</v>
      </c>
      <c r="K2" s="120">
        <f t="shared" ref="K2:M2" si="0">F48</f>
        <v>26542</v>
      </c>
      <c r="L2" s="120">
        <f t="shared" si="0"/>
        <v>130000</v>
      </c>
      <c r="M2" s="120">
        <f t="shared" si="0"/>
        <v>130000</v>
      </c>
    </row>
    <row r="3" spans="2:13" ht="14.1" customHeight="1">
      <c r="B3" s="40"/>
      <c r="C3" s="40"/>
      <c r="D3" s="40"/>
      <c r="E3" s="40"/>
      <c r="F3" s="40"/>
      <c r="G3" s="40"/>
      <c r="H3" s="40"/>
      <c r="J3" s="121">
        <f>C53</f>
        <v>1</v>
      </c>
      <c r="K3" s="121"/>
      <c r="L3" s="121"/>
      <c r="M3" s="121"/>
    </row>
    <row r="4" spans="2:13" ht="23.25" customHeight="1">
      <c r="B4" s="40"/>
      <c r="C4" s="40"/>
      <c r="D4" s="40"/>
      <c r="E4" s="316" t="s">
        <v>1</v>
      </c>
      <c r="F4" s="316"/>
      <c r="G4" s="41"/>
      <c r="H4" s="40"/>
      <c r="J4" s="121">
        <f t="shared" ref="J4:J6" si="1">C54</f>
        <v>0</v>
      </c>
    </row>
    <row r="5" spans="2:13" ht="14.1" customHeight="1">
      <c r="B5" s="42"/>
      <c r="C5" s="42"/>
      <c r="D5" s="312" t="str">
        <f>'Operating Budget'!B26</f>
        <v>Water Repair &amp; Maintenance</v>
      </c>
      <c r="E5" s="312"/>
      <c r="F5" s="312"/>
      <c r="G5" s="312"/>
      <c r="H5" s="43"/>
      <c r="J5" s="121">
        <f t="shared" si="1"/>
        <v>0</v>
      </c>
    </row>
    <row r="6" spans="2:13" ht="19.5" customHeight="1">
      <c r="B6" s="40"/>
      <c r="C6" s="40"/>
      <c r="D6" s="40"/>
      <c r="E6" s="40"/>
      <c r="H6" s="40"/>
      <c r="J6" s="121">
        <f t="shared" si="1"/>
        <v>0</v>
      </c>
    </row>
    <row r="7" spans="2:13" ht="14.1" hidden="1" customHeight="1">
      <c r="B7" s="40"/>
      <c r="C7" s="40"/>
      <c r="D7" s="40"/>
      <c r="E7" s="40"/>
      <c r="F7" s="44"/>
      <c r="G7" s="44"/>
      <c r="H7" s="40"/>
    </row>
    <row r="8" spans="2:13" ht="14.1" customHeight="1">
      <c r="B8" s="41" t="s">
        <v>2</v>
      </c>
      <c r="C8" s="40">
        <f>'Operating Budget'!C26</f>
        <v>4235</v>
      </c>
      <c r="D8" s="40"/>
      <c r="E8" s="40"/>
      <c r="F8" s="40"/>
      <c r="G8" s="40"/>
      <c r="H8" s="40"/>
    </row>
    <row r="9" spans="2:13" ht="14.1" customHeight="1">
      <c r="B9" s="41" t="s">
        <v>3</v>
      </c>
      <c r="C9" s="40">
        <f>INDEX('Operating Budget'!$A$11:$A$107,MATCH('9'!C8,'Operating Budget'!C11:C107))</f>
        <v>9</v>
      </c>
      <c r="D9" s="40"/>
      <c r="E9" s="40"/>
      <c r="F9" s="40"/>
      <c r="G9" s="202"/>
      <c r="H9" s="40"/>
    </row>
    <row r="10" spans="2:13" ht="14.1" customHeight="1">
      <c r="B10" s="40"/>
      <c r="C10" s="40"/>
      <c r="D10" s="40"/>
      <c r="E10" s="40"/>
      <c r="F10" s="40"/>
      <c r="G10" s="40"/>
      <c r="H10" s="40"/>
    </row>
    <row r="11" spans="2:13" ht="14.1" hidden="1" customHeight="1">
      <c r="B11" s="40"/>
      <c r="C11" s="40"/>
      <c r="D11" s="40"/>
      <c r="E11" s="40"/>
      <c r="F11" s="40"/>
      <c r="G11" s="40"/>
      <c r="H11" s="40"/>
    </row>
    <row r="12" spans="2:13" ht="14.1" customHeight="1">
      <c r="B12" s="41" t="s">
        <v>4</v>
      </c>
      <c r="C12" s="40"/>
      <c r="D12" s="40"/>
      <c r="E12" s="40"/>
      <c r="F12" s="40"/>
      <c r="G12" s="40"/>
      <c r="H12" s="40"/>
    </row>
    <row r="13" spans="2:13" ht="14.1" customHeight="1">
      <c r="B13" s="319" t="s">
        <v>58</v>
      </c>
      <c r="C13" s="319"/>
      <c r="D13" s="319"/>
      <c r="E13" s="319"/>
      <c r="F13" s="319"/>
      <c r="G13" s="319"/>
      <c r="H13" s="319"/>
    </row>
    <row r="14" spans="2:13" ht="14.1" hidden="1" customHeight="1">
      <c r="B14" s="319"/>
      <c r="C14" s="319"/>
      <c r="D14" s="319"/>
      <c r="E14" s="319"/>
      <c r="F14" s="319"/>
      <c r="G14" s="319"/>
      <c r="H14" s="319"/>
    </row>
    <row r="15" spans="2:13" ht="14.1" customHeight="1">
      <c r="B15" s="45"/>
      <c r="C15" s="45"/>
      <c r="D15" s="45"/>
      <c r="E15" s="45"/>
      <c r="F15" s="45"/>
      <c r="G15" s="45"/>
      <c r="H15" s="45"/>
    </row>
    <row r="16" spans="2:13" ht="14.1" customHeight="1">
      <c r="B16" s="41" t="str">
        <f>"Changes for FY "&amp;MASTER!$B$4&amp;" - "&amp;MASTER!$B$5&amp;":"</f>
        <v>Changes for FY 2021 - 2022:</v>
      </c>
      <c r="C16" s="45"/>
      <c r="D16" s="45"/>
      <c r="E16" s="45"/>
      <c r="F16" s="45"/>
      <c r="G16" s="45"/>
      <c r="H16" s="45"/>
      <c r="I16" s="241"/>
    </row>
    <row r="17" spans="2:13" ht="14.1" hidden="1" customHeight="1">
      <c r="B17" s="319"/>
      <c r="C17" s="319"/>
      <c r="D17" s="319"/>
      <c r="E17" s="319"/>
      <c r="F17" s="319"/>
      <c r="G17" s="319"/>
      <c r="H17" s="319"/>
    </row>
    <row r="18" spans="2:13" ht="14.1" hidden="1" customHeight="1">
      <c r="B18" s="319"/>
      <c r="C18" s="319"/>
      <c r="D18" s="319"/>
      <c r="E18" s="319"/>
      <c r="F18" s="319"/>
      <c r="G18" s="319"/>
      <c r="H18" s="319"/>
    </row>
    <row r="19" spans="2:13" ht="14.1" customHeight="1">
      <c r="B19" s="320" t="s">
        <v>43</v>
      </c>
      <c r="C19" s="320"/>
      <c r="D19" s="320"/>
      <c r="E19" s="320"/>
      <c r="F19" s="320"/>
      <c r="G19" s="320"/>
      <c r="H19" s="320"/>
    </row>
    <row r="20" spans="2:13" ht="14.1" customHeight="1">
      <c r="B20" s="320"/>
      <c r="C20" s="320"/>
      <c r="D20" s="320"/>
      <c r="E20" s="320"/>
      <c r="F20" s="320"/>
      <c r="G20" s="320"/>
      <c r="H20" s="320"/>
    </row>
    <row r="21" spans="2:13" s="5" customFormat="1" ht="14.1" customHeight="1">
      <c r="B21" s="36" t="s">
        <v>7</v>
      </c>
      <c r="C21" s="37"/>
      <c r="D21" s="37"/>
      <c r="E21" s="37"/>
      <c r="F21" s="37"/>
      <c r="G21" s="37"/>
      <c r="H21" s="38"/>
    </row>
    <row r="22" spans="2:13" s="5" customFormat="1" ht="14.1" customHeight="1">
      <c r="B22" s="40"/>
      <c r="C22" s="41"/>
      <c r="D22" s="40"/>
      <c r="E22" s="40"/>
      <c r="F22" s="40"/>
      <c r="G22" s="40"/>
      <c r="H22" s="40"/>
    </row>
    <row r="23" spans="2:13" s="5" customFormat="1" ht="14.1" customHeight="1">
      <c r="B23" s="67" t="str">
        <f>$D$5</f>
        <v>Water Repair &amp; Maintenance</v>
      </c>
      <c r="C23" s="67"/>
      <c r="D23" s="68"/>
      <c r="E23" s="68"/>
      <c r="F23" s="68" t="s">
        <v>10</v>
      </c>
      <c r="G23" s="69" t="s">
        <v>31</v>
      </c>
      <c r="H23" s="40"/>
      <c r="J23" s="73" t="s">
        <v>32</v>
      </c>
      <c r="K23" s="73" t="s">
        <v>33</v>
      </c>
      <c r="L23" s="73" t="s">
        <v>34</v>
      </c>
      <c r="M23" s="73" t="s">
        <v>35</v>
      </c>
    </row>
    <row r="24" spans="2:13" s="5" customFormat="1" ht="14.1" customHeight="1">
      <c r="B24" s="64" t="s">
        <v>59</v>
      </c>
      <c r="C24" s="57"/>
      <c r="D24" s="80"/>
      <c r="E24" s="66"/>
      <c r="F24" s="66">
        <v>12000</v>
      </c>
      <c r="G24" s="71" t="s">
        <v>37</v>
      </c>
      <c r="H24" s="40"/>
      <c r="J24" s="74">
        <f>INDEX(MASTER!$C$25:$F$42,MATCH($G24,allocation,0),MATCH(J$23,MASTER!$C$24:$F$24,0))</f>
        <v>1</v>
      </c>
      <c r="K24" s="74">
        <f>INDEX(MASTER!$C$25:$F$42,MATCH($G24,allocation,0),MATCH(K$23,MASTER!$C$24:$F$24,0))</f>
        <v>0</v>
      </c>
      <c r="L24" s="74">
        <f>INDEX(MASTER!$C$25:$F$42,MATCH($G24,allocation,0),MATCH(L$23,MASTER!$C$24:$F$24,0))</f>
        <v>0</v>
      </c>
      <c r="M24" s="74">
        <f>INDEX(MASTER!$C$25:$F$42,MATCH($G24,allocation,0),MATCH(M$23,MASTER!$C$24:$F$24,0))</f>
        <v>0</v>
      </c>
    </row>
    <row r="25" spans="2:13" s="5" customFormat="1" ht="14.1" customHeight="1">
      <c r="B25" s="64" t="s">
        <v>60</v>
      </c>
      <c r="C25" s="57"/>
      <c r="D25" s="80"/>
      <c r="E25" s="66"/>
      <c r="F25" s="66">
        <v>1000</v>
      </c>
      <c r="G25" s="81" t="s">
        <v>37</v>
      </c>
      <c r="H25" s="40"/>
      <c r="J25" s="74">
        <f>INDEX(MASTER!$C$25:$F$42,MATCH($G25,allocation,0),MATCH(J$23,MASTER!$C$24:$F$24,0))</f>
        <v>1</v>
      </c>
      <c r="K25" s="74">
        <f>INDEX(MASTER!$C$25:$F$42,MATCH($G25,allocation,0),MATCH(K$23,MASTER!$C$24:$F$24,0))</f>
        <v>0</v>
      </c>
      <c r="L25" s="74">
        <f>INDEX(MASTER!$C$25:$F$42,MATCH($G25,allocation,0),MATCH(L$23,MASTER!$C$24:$F$24,0))</f>
        <v>0</v>
      </c>
      <c r="M25" s="74">
        <f>INDEX(MASTER!$C$25:$F$42,MATCH($G25,allocation,0),MATCH(M$23,MASTER!$C$24:$F$24,0))</f>
        <v>0</v>
      </c>
    </row>
    <row r="26" spans="2:13" s="5" customFormat="1" ht="14.1" customHeight="1">
      <c r="B26" s="64" t="s">
        <v>61</v>
      </c>
      <c r="C26" s="57"/>
      <c r="D26" s="80"/>
      <c r="E26" s="66"/>
      <c r="F26" s="66">
        <v>500</v>
      </c>
      <c r="G26" s="81" t="s">
        <v>37</v>
      </c>
      <c r="H26" s="40"/>
      <c r="J26" s="74">
        <f>INDEX(MASTER!$C$25:$F$42,MATCH($G26,allocation,0),MATCH(J$23,MASTER!$C$24:$F$24,0))</f>
        <v>1</v>
      </c>
      <c r="K26" s="74">
        <f>INDEX(MASTER!$C$25:$F$42,MATCH($G26,allocation,0),MATCH(K$23,MASTER!$C$24:$F$24,0))</f>
        <v>0</v>
      </c>
      <c r="L26" s="74">
        <f>INDEX(MASTER!$C$25:$F$42,MATCH($G26,allocation,0),MATCH(L$23,MASTER!$C$24:$F$24,0))</f>
        <v>0</v>
      </c>
      <c r="M26" s="74">
        <f>INDEX(MASTER!$C$25:$F$42,MATCH($G26,allocation,0),MATCH(M$23,MASTER!$C$24:$F$24,0))</f>
        <v>0</v>
      </c>
    </row>
    <row r="27" spans="2:13" s="5" customFormat="1" ht="14.1" customHeight="1">
      <c r="B27" s="64" t="s">
        <v>62</v>
      </c>
      <c r="C27" s="57"/>
      <c r="D27" s="80"/>
      <c r="E27" s="66"/>
      <c r="F27" s="66">
        <v>3000</v>
      </c>
      <c r="G27" s="81" t="s">
        <v>37</v>
      </c>
      <c r="H27" s="40"/>
      <c r="J27" s="74">
        <f>INDEX(MASTER!$C$25:$F$42,MATCH($G27,allocation,0),MATCH(J$23,MASTER!$C$24:$F$24,0))</f>
        <v>1</v>
      </c>
      <c r="K27" s="74">
        <f>INDEX(MASTER!$C$25:$F$42,MATCH($G27,allocation,0),MATCH(K$23,MASTER!$C$24:$F$24,0))</f>
        <v>0</v>
      </c>
      <c r="L27" s="74">
        <f>INDEX(MASTER!$C$25:$F$42,MATCH($G27,allocation,0),MATCH(L$23,MASTER!$C$24:$F$24,0))</f>
        <v>0</v>
      </c>
      <c r="M27" s="74">
        <f>INDEX(MASTER!$C$25:$F$42,MATCH($G27,allocation,0),MATCH(M$23,MASTER!$C$24:$F$24,0))</f>
        <v>0</v>
      </c>
    </row>
    <row r="28" spans="2:13" s="5" customFormat="1" ht="14.1" customHeight="1">
      <c r="B28" s="64" t="s">
        <v>63</v>
      </c>
      <c r="C28" s="57"/>
      <c r="D28" s="80"/>
      <c r="E28" s="66"/>
      <c r="F28" s="66">
        <v>11000</v>
      </c>
      <c r="G28" s="81" t="s">
        <v>37</v>
      </c>
      <c r="H28" s="40"/>
      <c r="J28" s="74">
        <f>INDEX(MASTER!$C$25:$F$42,MATCH($G28,allocation,0),MATCH(J$23,MASTER!$C$24:$F$24,0))</f>
        <v>1</v>
      </c>
      <c r="K28" s="74">
        <f>INDEX(MASTER!$C$25:$F$42,MATCH($G28,allocation,0),MATCH(K$23,MASTER!$C$24:$F$24,0))</f>
        <v>0</v>
      </c>
      <c r="L28" s="74">
        <f>INDEX(MASTER!$C$25:$F$42,MATCH($G28,allocation,0),MATCH(L$23,MASTER!$C$24:$F$24,0))</f>
        <v>0</v>
      </c>
      <c r="M28" s="74">
        <f>INDEX(MASTER!$C$25:$F$42,MATCH($G28,allocation,0),MATCH(M$23,MASTER!$C$24:$F$24,0))</f>
        <v>0</v>
      </c>
    </row>
    <row r="29" spans="2:13" s="5" customFormat="1" ht="14.1" customHeight="1">
      <c r="B29" s="240" t="s">
        <v>64</v>
      </c>
      <c r="C29" s="57"/>
      <c r="D29" s="80"/>
      <c r="E29" s="66"/>
      <c r="F29" s="66">
        <v>4400</v>
      </c>
      <c r="G29" s="81" t="s">
        <v>37</v>
      </c>
      <c r="H29" s="40"/>
      <c r="J29" s="74">
        <f>INDEX(MASTER!$C$25:$F$42,MATCH($G29,allocation,0),MATCH(J$23,MASTER!$C$24:$F$24,0))</f>
        <v>1</v>
      </c>
      <c r="K29" s="74">
        <f>INDEX(MASTER!$C$25:$F$42,MATCH($G29,allocation,0),MATCH(K$23,MASTER!$C$24:$F$24,0))</f>
        <v>0</v>
      </c>
      <c r="L29" s="74">
        <f>INDEX(MASTER!$C$25:$F$42,MATCH($G29,allocation,0),MATCH(L$23,MASTER!$C$24:$F$24,0))</f>
        <v>0</v>
      </c>
      <c r="M29" s="74">
        <f>INDEX(MASTER!$C$25:$F$42,MATCH($G29,allocation,0),MATCH(M$23,MASTER!$C$24:$F$24,0))</f>
        <v>0</v>
      </c>
    </row>
    <row r="30" spans="2:13" s="5" customFormat="1" ht="14.1" customHeight="1">
      <c r="B30" s="64" t="s">
        <v>65</v>
      </c>
      <c r="C30" s="57"/>
      <c r="D30" s="80"/>
      <c r="E30" s="66"/>
      <c r="F30" s="66">
        <v>1800</v>
      </c>
      <c r="G30" s="81" t="s">
        <v>37</v>
      </c>
      <c r="H30" s="40"/>
      <c r="J30" s="74">
        <f>INDEX(MASTER!$C$25:$F$42,MATCH($G30,allocation,0),MATCH(J$23,MASTER!$C$24:$F$24,0))</f>
        <v>1</v>
      </c>
      <c r="K30" s="74">
        <f>INDEX(MASTER!$C$25:$F$42,MATCH($G30,allocation,0),MATCH(K$23,MASTER!$C$24:$F$24,0))</f>
        <v>0</v>
      </c>
      <c r="L30" s="74">
        <f>INDEX(MASTER!$C$25:$F$42,MATCH($G30,allocation,0),MATCH(L$23,MASTER!$C$24:$F$24,0))</f>
        <v>0</v>
      </c>
      <c r="M30" s="74">
        <f>INDEX(MASTER!$C$25:$F$42,MATCH($G30,allocation,0),MATCH(M$23,MASTER!$C$24:$F$24,0))</f>
        <v>0</v>
      </c>
    </row>
    <row r="31" spans="2:13" s="5" customFormat="1" ht="14.1" customHeight="1">
      <c r="B31" s="64" t="s">
        <v>66</v>
      </c>
      <c r="C31" s="57"/>
      <c r="D31" s="80"/>
      <c r="E31" s="66"/>
      <c r="F31" s="66">
        <v>2000</v>
      </c>
      <c r="G31" s="81" t="s">
        <v>37</v>
      </c>
      <c r="H31" s="40"/>
      <c r="J31" s="74">
        <f>INDEX(MASTER!$C$25:$F$42,MATCH($G31,allocation,0),MATCH(J$23,MASTER!$C$24:$F$24,0))</f>
        <v>1</v>
      </c>
      <c r="K31" s="74">
        <f>INDEX(MASTER!$C$25:$F$42,MATCH($G31,allocation,0),MATCH(K$23,MASTER!$C$24:$F$24,0))</f>
        <v>0</v>
      </c>
      <c r="L31" s="74">
        <f>INDEX(MASTER!$C$25:$F$42,MATCH($G31,allocation,0),MATCH(L$23,MASTER!$C$24:$F$24,0))</f>
        <v>0</v>
      </c>
      <c r="M31" s="74">
        <f>INDEX(MASTER!$C$25:$F$42,MATCH($G31,allocation,0),MATCH(M$23,MASTER!$C$24:$F$24,0))</f>
        <v>0</v>
      </c>
    </row>
    <row r="32" spans="2:13" s="5" customFormat="1" ht="14.1" customHeight="1">
      <c r="B32" s="240" t="s">
        <v>67</v>
      </c>
      <c r="C32" s="57"/>
      <c r="D32" s="80"/>
      <c r="E32" s="66"/>
      <c r="F32" s="66">
        <v>750</v>
      </c>
      <c r="G32" s="81" t="s">
        <v>37</v>
      </c>
      <c r="H32" s="40"/>
      <c r="J32" s="74">
        <f>INDEX(MASTER!$C$25:$F$42,MATCH($G32,allocation,0),MATCH(J$23,MASTER!$C$24:$F$24,0))</f>
        <v>1</v>
      </c>
      <c r="K32" s="74">
        <f>INDEX(MASTER!$C$25:$F$42,MATCH($G32,allocation,0),MATCH(K$23,MASTER!$C$24:$F$24,0))</f>
        <v>0</v>
      </c>
      <c r="L32" s="74">
        <f>INDEX(MASTER!$C$25:$F$42,MATCH($G32,allocation,0),MATCH(L$23,MASTER!$C$24:$F$24,0))</f>
        <v>0</v>
      </c>
      <c r="M32" s="74">
        <f>INDEX(MASTER!$C$25:$F$42,MATCH($G32,allocation,0),MATCH(M$23,MASTER!$C$24:$F$24,0))</f>
        <v>0</v>
      </c>
    </row>
    <row r="33" spans="2:13" s="5" customFormat="1" ht="14.1" customHeight="1">
      <c r="B33" s="64" t="s">
        <v>68</v>
      </c>
      <c r="C33" s="57"/>
      <c r="D33" s="80"/>
      <c r="E33" s="66"/>
      <c r="F33" s="66">
        <v>3000</v>
      </c>
      <c r="G33" s="81" t="s">
        <v>37</v>
      </c>
      <c r="H33" s="40"/>
      <c r="J33" s="74">
        <f>INDEX(MASTER!$C$25:$F$42,MATCH($G33,allocation,0),MATCH(J$23,MASTER!$C$24:$F$24,0))</f>
        <v>1</v>
      </c>
      <c r="K33" s="74">
        <f>INDEX(MASTER!$C$25:$F$42,MATCH($G33,allocation,0),MATCH(K$23,MASTER!$C$24:$F$24,0))</f>
        <v>0</v>
      </c>
      <c r="L33" s="74">
        <f>INDEX(MASTER!$C$25:$F$42,MATCH($G33,allocation,0),MATCH(L$23,MASTER!$C$24:$F$24,0))</f>
        <v>0</v>
      </c>
      <c r="M33" s="74">
        <f>INDEX(MASTER!$C$25:$F$42,MATCH($G33,allocation,0),MATCH(M$23,MASTER!$C$24:$F$24,0))</f>
        <v>0</v>
      </c>
    </row>
    <row r="34" spans="2:13" s="5" customFormat="1" ht="14.1" customHeight="1">
      <c r="B34" s="64" t="s">
        <v>69</v>
      </c>
      <c r="C34" s="57"/>
      <c r="D34" s="80"/>
      <c r="E34" s="66"/>
      <c r="F34" s="66">
        <v>1500</v>
      </c>
      <c r="G34" s="81" t="s">
        <v>37</v>
      </c>
      <c r="H34" s="40"/>
      <c r="J34" s="74">
        <f>INDEX(MASTER!$C$25:$F$42,MATCH($G34,allocation,0),MATCH(J$23,MASTER!$C$24:$F$24,0))</f>
        <v>1</v>
      </c>
      <c r="K34" s="74">
        <f>INDEX(MASTER!$C$25:$F$42,MATCH($G34,allocation,0),MATCH(K$23,MASTER!$C$24:$F$24,0))</f>
        <v>0</v>
      </c>
      <c r="L34" s="74">
        <f>INDEX(MASTER!$C$25:$F$42,MATCH($G34,allocation,0),MATCH(L$23,MASTER!$C$24:$F$24,0))</f>
        <v>0</v>
      </c>
      <c r="M34" s="74">
        <f>INDEX(MASTER!$C$25:$F$42,MATCH($G34,allocation,0),MATCH(M$23,MASTER!$C$24:$F$24,0))</f>
        <v>0</v>
      </c>
    </row>
    <row r="35" spans="2:13" s="5" customFormat="1" ht="14.1" customHeight="1">
      <c r="B35" s="64" t="s">
        <v>70</v>
      </c>
      <c r="C35" s="57"/>
      <c r="D35" s="80"/>
      <c r="E35" s="66"/>
      <c r="F35" s="66">
        <v>35000</v>
      </c>
      <c r="G35" s="81" t="s">
        <v>37</v>
      </c>
      <c r="H35" s="40"/>
      <c r="J35" s="74">
        <f>INDEX(MASTER!$C$25:$F$42,MATCH($G35,allocation,0),MATCH(J$23,MASTER!$C$24:$F$24,0))</f>
        <v>1</v>
      </c>
      <c r="K35" s="74">
        <f>INDEX(MASTER!$C$25:$F$42,MATCH($G35,allocation,0),MATCH(K$23,MASTER!$C$24:$F$24,0))</f>
        <v>0</v>
      </c>
      <c r="L35" s="74">
        <f>INDEX(MASTER!$C$25:$F$42,MATCH($G35,allocation,0),MATCH(L$23,MASTER!$C$24:$F$24,0))</f>
        <v>0</v>
      </c>
      <c r="M35" s="74">
        <f>INDEX(MASTER!$C$25:$F$42,MATCH($G35,allocation,0),MATCH(M$23,MASTER!$C$24:$F$24,0))</f>
        <v>0</v>
      </c>
    </row>
    <row r="36" spans="2:13" s="5" customFormat="1" ht="14.1" customHeight="1">
      <c r="B36" s="64" t="s">
        <v>71</v>
      </c>
      <c r="C36" s="57"/>
      <c r="D36" s="80"/>
      <c r="E36" s="66"/>
      <c r="F36" s="66">
        <v>45000</v>
      </c>
      <c r="G36" s="81" t="s">
        <v>37</v>
      </c>
      <c r="H36" s="40"/>
      <c r="J36" s="74">
        <f>INDEX(MASTER!$C$25:$F$42,MATCH($G36,allocation,0),MATCH(J$23,MASTER!$C$24:$F$24,0))</f>
        <v>1</v>
      </c>
      <c r="K36" s="74">
        <f>INDEX(MASTER!$C$25:$F$42,MATCH($G36,allocation,0),MATCH(K$23,MASTER!$C$24:$F$24,0))</f>
        <v>0</v>
      </c>
      <c r="L36" s="74">
        <f>INDEX(MASTER!$C$25:$F$42,MATCH($G36,allocation,0),MATCH(L$23,MASTER!$C$24:$F$24,0))</f>
        <v>0</v>
      </c>
      <c r="M36" s="74">
        <f>INDEX(MASTER!$C$25:$F$42,MATCH($G36,allocation,0),MATCH(M$23,MASTER!$C$24:$F$24,0))</f>
        <v>0</v>
      </c>
    </row>
    <row r="37" spans="2:13" s="5" customFormat="1" ht="14.1" customHeight="1">
      <c r="B37" s="64" t="s">
        <v>72</v>
      </c>
      <c r="C37" s="57"/>
      <c r="D37" s="80"/>
      <c r="E37" s="66"/>
      <c r="F37" s="66">
        <v>1000</v>
      </c>
      <c r="G37" s="81" t="s">
        <v>37</v>
      </c>
      <c r="H37" s="40"/>
      <c r="J37" s="74">
        <f>INDEX(MASTER!$C$25:$F$42,MATCH($G37,allocation,0),MATCH(J$23,MASTER!$C$24:$F$24,0))</f>
        <v>1</v>
      </c>
      <c r="K37" s="74">
        <f>INDEX(MASTER!$C$25:$F$42,MATCH($G37,allocation,0),MATCH(K$23,MASTER!$C$24:$F$24,0))</f>
        <v>0</v>
      </c>
      <c r="L37" s="74">
        <f>INDEX(MASTER!$C$25:$F$42,MATCH($G37,allocation,0),MATCH(L$23,MASTER!$C$24:$F$24,0))</f>
        <v>0</v>
      </c>
      <c r="M37" s="74">
        <f>INDEX(MASTER!$C$25:$F$42,MATCH($G37,allocation,0),MATCH(M$23,MASTER!$C$24:$F$24,0))</f>
        <v>0</v>
      </c>
    </row>
    <row r="38" spans="2:13" s="5" customFormat="1" ht="14.1" customHeight="1">
      <c r="B38" s="64" t="s">
        <v>73</v>
      </c>
      <c r="C38" s="57"/>
      <c r="D38" s="80"/>
      <c r="E38" s="66"/>
      <c r="F38" s="66">
        <v>4000</v>
      </c>
      <c r="G38" s="81" t="s">
        <v>37</v>
      </c>
      <c r="H38" s="40"/>
      <c r="J38" s="74">
        <f>INDEX(MASTER!$C$25:$F$42,MATCH($G38,allocation,0),MATCH(J$23,MASTER!$C$24:$F$24,0))</f>
        <v>1</v>
      </c>
      <c r="K38" s="74">
        <f>INDEX(MASTER!$C$25:$F$42,MATCH($G38,allocation,0),MATCH(K$23,MASTER!$C$24:$F$24,0))</f>
        <v>0</v>
      </c>
      <c r="L38" s="74">
        <f>INDEX(MASTER!$C$25:$F$42,MATCH($G38,allocation,0),MATCH(L$23,MASTER!$C$24:$F$24,0))</f>
        <v>0</v>
      </c>
      <c r="M38" s="74">
        <f>INDEX(MASTER!$C$25:$F$42,MATCH($G38,allocation,0),MATCH(M$23,MASTER!$C$24:$F$24,0))</f>
        <v>0</v>
      </c>
    </row>
    <row r="39" spans="2:13" s="5" customFormat="1" ht="14.1" customHeight="1">
      <c r="B39" s="64" t="s">
        <v>74</v>
      </c>
      <c r="C39" s="57"/>
      <c r="D39" s="80"/>
      <c r="E39" s="66"/>
      <c r="F39" s="66">
        <v>4000</v>
      </c>
      <c r="G39" s="81" t="s">
        <v>37</v>
      </c>
      <c r="H39" s="40"/>
      <c r="J39" s="74">
        <f>INDEX(MASTER!$C$25:$F$42,MATCH($G39,allocation,0),MATCH(J$23,MASTER!$C$24:$F$24,0))</f>
        <v>1</v>
      </c>
      <c r="K39" s="74">
        <f>INDEX(MASTER!$C$25:$F$42,MATCH($G39,allocation,0),MATCH(K$23,MASTER!$C$24:$F$24,0))</f>
        <v>0</v>
      </c>
      <c r="L39" s="74">
        <f>INDEX(MASTER!$C$25:$F$42,MATCH($G39,allocation,0),MATCH(L$23,MASTER!$C$24:$F$24,0))</f>
        <v>0</v>
      </c>
      <c r="M39" s="74">
        <f>INDEX(MASTER!$C$25:$F$42,MATCH($G39,allocation,0),MATCH(M$23,MASTER!$C$24:$F$24,0))</f>
        <v>0</v>
      </c>
    </row>
    <row r="40" spans="2:13" s="5" customFormat="1" ht="14.1" customHeight="1" thickBot="1">
      <c r="B40" s="49" t="s">
        <v>10</v>
      </c>
      <c r="C40" s="49"/>
      <c r="D40" s="49"/>
      <c r="E40" s="49"/>
      <c r="F40" s="50">
        <f>SUM(F24:F39)</f>
        <v>129950</v>
      </c>
      <c r="G40" s="49"/>
      <c r="H40" s="40"/>
    </row>
    <row r="41" spans="2:13" s="5" customFormat="1" ht="14.1" customHeight="1" thickTop="1">
      <c r="B41" s="40"/>
      <c r="C41" s="41"/>
      <c r="G41" s="40"/>
      <c r="H41" s="40"/>
    </row>
    <row r="42" spans="2:13" s="5" customFormat="1" ht="14.1" customHeight="1">
      <c r="B42" s="41" t="s">
        <v>11</v>
      </c>
      <c r="C42" s="35">
        <f>ROUNDUP($F$40,-$B$43)</f>
        <v>130000</v>
      </c>
      <c r="F42" s="40"/>
      <c r="G42" s="40"/>
      <c r="H42" s="40"/>
    </row>
    <row r="43" spans="2:13" s="5" customFormat="1" ht="14.1" hidden="1" customHeight="1">
      <c r="B43" s="51">
        <v>3</v>
      </c>
      <c r="C43" s="41"/>
      <c r="D43" s="40"/>
      <c r="E43" s="40"/>
      <c r="F43" s="40"/>
      <c r="G43" s="40"/>
      <c r="H43" s="40"/>
    </row>
    <row r="44" spans="2:13" s="5" customFormat="1" ht="14.1" customHeight="1">
      <c r="B44" s="40"/>
      <c r="C44" s="41"/>
      <c r="D44" s="40"/>
      <c r="E44" s="40"/>
      <c r="F44" s="40"/>
      <c r="G44" s="40"/>
      <c r="H44" s="40"/>
    </row>
    <row r="45" spans="2:13" s="5" customFormat="1" ht="14.1" customHeight="1">
      <c r="B45" s="40"/>
      <c r="C45" s="41"/>
      <c r="D45" s="40"/>
      <c r="E45" s="53" t="s">
        <v>12</v>
      </c>
      <c r="F45" s="54" t="s">
        <v>13</v>
      </c>
      <c r="G45" s="54" t="s">
        <v>14</v>
      </c>
      <c r="H45" s="55" t="s">
        <v>15</v>
      </c>
    </row>
    <row r="46" spans="2:13" s="5" customFormat="1" ht="14.1" customHeight="1">
      <c r="B46" s="36"/>
      <c r="C46" s="36"/>
      <c r="D46" s="36"/>
      <c r="E46" s="53" t="str">
        <f>"FY "&amp;MASTER!$B$4-1&amp;" - "&amp;MASTER!$B$4</f>
        <v>FY 2020 - 2021</v>
      </c>
      <c r="F46" s="56">
        <f>MASTER!$B$6</f>
        <v>44255</v>
      </c>
      <c r="G46" s="54" t="str">
        <f>"June "&amp;MASTER!$B$4</f>
        <v>June 2021</v>
      </c>
      <c r="H46" s="55" t="str">
        <f>"FY "&amp;MASTER!$B$4&amp;" - "&amp;MASTER!$B$5</f>
        <v>FY 2021 - 2022</v>
      </c>
    </row>
    <row r="47" spans="2:13" s="5" customFormat="1" ht="14.1" customHeight="1">
      <c r="B47" s="57"/>
      <c r="C47" s="57"/>
      <c r="D47" s="58"/>
      <c r="E47" s="59"/>
      <c r="F47" s="60"/>
      <c r="G47" s="60"/>
      <c r="H47" s="58"/>
    </row>
    <row r="48" spans="2:13" s="5" customFormat="1" ht="14.1" customHeight="1">
      <c r="B48" s="40" t="str">
        <f>$D$5</f>
        <v>Water Repair &amp; Maintenance</v>
      </c>
      <c r="C48" s="41"/>
      <c r="D48" s="58"/>
      <c r="E48" s="61">
        <v>130000</v>
      </c>
      <c r="F48" s="62">
        <v>26542</v>
      </c>
      <c r="G48" s="62">
        <v>130000</v>
      </c>
      <c r="H48" s="63">
        <f>C42</f>
        <v>130000</v>
      </c>
    </row>
    <row r="49" spans="2:253" s="5" customFormat="1" ht="14.1" hidden="1" customHeight="1">
      <c r="B49" s="40"/>
      <c r="C49" s="41"/>
      <c r="D49" s="58"/>
      <c r="E49" s="59"/>
      <c r="F49" s="59"/>
      <c r="G49" s="58"/>
      <c r="H49" s="82"/>
    </row>
    <row r="50" spans="2:253" s="5" customFormat="1" ht="14.1" customHeight="1">
      <c r="B50" s="2"/>
      <c r="C50" s="1"/>
    </row>
    <row r="51" spans="2:253" s="5" customFormat="1" ht="14.1" hidden="1" customHeight="1">
      <c r="B51" s="2"/>
      <c r="C51" s="1"/>
    </row>
    <row r="52" spans="2:253" s="5" customFormat="1" ht="14.1" customHeight="1">
      <c r="B52" s="36" t="s">
        <v>39</v>
      </c>
      <c r="C52" s="36"/>
      <c r="D52" s="55" t="s">
        <v>40</v>
      </c>
      <c r="E52" s="55" t="s">
        <v>41</v>
      </c>
    </row>
    <row r="53" spans="2:253" s="5" customFormat="1" ht="14.1" customHeight="1">
      <c r="B53" s="75" t="s">
        <v>32</v>
      </c>
      <c r="C53" s="84">
        <f>E53/E57</f>
        <v>1</v>
      </c>
      <c r="D53" s="78">
        <f>SUMPRODUCT($F$24:$F$39,$J$24:$J$39)</f>
        <v>129950</v>
      </c>
      <c r="E53" s="78">
        <f>$D53+(C42-SUM(D53:D56))*($D53/$D$57)</f>
        <v>130000</v>
      </c>
    </row>
    <row r="54" spans="2:253" s="5" customFormat="1" ht="14.1" customHeight="1">
      <c r="B54" s="75" t="s">
        <v>33</v>
      </c>
      <c r="C54" s="84">
        <f>E54/E57</f>
        <v>0</v>
      </c>
      <c r="D54" s="78">
        <f>SUMPRODUCT($F$24:$F$39,$K$24:$K$39)</f>
        <v>0</v>
      </c>
      <c r="E54" s="78">
        <f>$D54+(C43-SUM(D54:D57))*($D54/$D$57)</f>
        <v>0</v>
      </c>
    </row>
    <row r="55" spans="2:253" s="5" customFormat="1" ht="14.1" customHeight="1">
      <c r="B55" s="75" t="s">
        <v>34</v>
      </c>
      <c r="C55" s="84">
        <f>E55/E57</f>
        <v>0</v>
      </c>
      <c r="D55" s="78">
        <f>SUMPRODUCT($F$24:$F$39,$L$24:$L$39)</f>
        <v>0</v>
      </c>
      <c r="E55" s="78">
        <f>$D55+(C44-SUM(D55:D58))*($D55/$D$57)</f>
        <v>0</v>
      </c>
    </row>
    <row r="56" spans="2:253" s="5" customFormat="1" ht="14.1" customHeight="1">
      <c r="B56" s="75" t="s">
        <v>35</v>
      </c>
      <c r="C56" s="84">
        <f>E56/E57</f>
        <v>0</v>
      </c>
      <c r="D56" s="78">
        <f>SUMPRODUCT($F$24:$F$39,$M$24:$M$39)</f>
        <v>0</v>
      </c>
      <c r="E56" s="78">
        <f>$D56+(C45-SUM(D56:D59))*($D56/$D$57)</f>
        <v>0</v>
      </c>
    </row>
    <row r="57" spans="2:253" s="5" customFormat="1" ht="12.75" customHeight="1">
      <c r="B57" s="77" t="s">
        <v>10</v>
      </c>
      <c r="C57" s="85">
        <f>SUM(C53:C56)</f>
        <v>1</v>
      </c>
      <c r="D57" s="79">
        <f>SUM(D53:D56)</f>
        <v>129950</v>
      </c>
      <c r="E57" s="79">
        <f>SUM(E53:E56)</f>
        <v>130000</v>
      </c>
    </row>
    <row r="58" spans="2:253" s="5" customFormat="1" ht="12.75" customHeight="1">
      <c r="B58" s="2"/>
      <c r="C58" s="2"/>
      <c r="D58" s="2"/>
      <c r="E58" s="76"/>
    </row>
    <row r="59" spans="2:253" s="5" customFormat="1" ht="12.75" customHeight="1">
      <c r="E59" s="20"/>
      <c r="F59" s="6"/>
    </row>
    <row r="60" spans="2:253" s="5" customFormat="1" ht="12.75" customHeight="1">
      <c r="E60" s="20"/>
    </row>
    <row r="61" spans="2:253" s="5" customFormat="1" ht="12.75" customHeight="1">
      <c r="D61" s="21"/>
      <c r="E61" s="20"/>
    </row>
    <row r="62" spans="2:253" s="5" customFormat="1" ht="12.75" customHeight="1">
      <c r="D62" s="21"/>
      <c r="E62" s="20"/>
    </row>
    <row r="63" spans="2:253" s="5" customFormat="1" ht="12.75" customHeight="1">
      <c r="E63" s="20"/>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row>
    <row r="64" spans="2:253" s="5" customFormat="1" ht="12.75" customHeight="1">
      <c r="D64" s="21"/>
      <c r="E64" s="20"/>
    </row>
    <row r="65" spans="4:5" s="5" customFormat="1" ht="12.75" customHeight="1">
      <c r="E65" s="20"/>
    </row>
    <row r="66" spans="4:5" ht="12.75" customHeight="1">
      <c r="E66" s="20"/>
    </row>
    <row r="67" spans="4:5" ht="12.75" customHeight="1">
      <c r="E67" s="4"/>
    </row>
    <row r="68" spans="4:5">
      <c r="E68" s="3"/>
    </row>
    <row r="80" spans="4:5">
      <c r="D80" s="3"/>
      <c r="E80" s="3"/>
    </row>
  </sheetData>
  <mergeCells count="5">
    <mergeCell ref="E4:F4"/>
    <mergeCell ref="B13:H14"/>
    <mergeCell ref="B17:H18"/>
    <mergeCell ref="D5:G5"/>
    <mergeCell ref="B19:H20"/>
  </mergeCells>
  <dataValidations count="2">
    <dataValidation type="list" allowBlank="1" showInputMessage="1" showErrorMessage="1" sqref="E4" xr:uid="{00000000-0002-0000-0E00-000000000000}">
      <formula1>enterprise</formula1>
    </dataValidation>
    <dataValidation type="list" allowBlank="1" showInputMessage="1" showErrorMessage="1" sqref="G24:G39" xr:uid="{00000000-0002-0000-0E00-000001000000}">
      <formula1>allocation</formula1>
    </dataValidation>
  </dataValidations>
  <pageMargins left="0.7" right="0.7" top="0.75" bottom="0.75" header="0.3" footer="0.3"/>
  <pageSetup scale="91"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7B238F4211D4140B2AEA8219FA647E2" ma:contentTypeVersion="12" ma:contentTypeDescription="Create a new document." ma:contentTypeScope="" ma:versionID="4920766ba8ee1b50c785d7cf0b0c06b3">
  <xsd:schema xmlns:xsd="http://www.w3.org/2001/XMLSchema" xmlns:xs="http://www.w3.org/2001/XMLSchema" xmlns:p="http://schemas.microsoft.com/office/2006/metadata/properties" xmlns:ns2="b72fbd05-f8f5-4422-91ec-e002467aa99b" xmlns:ns3="f165014c-2966-4902-b7b2-eb773d95cc9a" targetNamespace="http://schemas.microsoft.com/office/2006/metadata/properties" ma:root="true" ma:fieldsID="6c826820d82e35c646b85e50e03a7055" ns2:_="" ns3:_="">
    <xsd:import namespace="b72fbd05-f8f5-4422-91ec-e002467aa99b"/>
    <xsd:import namespace="f165014c-2966-4902-b7b2-eb773d95cc9a"/>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Location" minOccurs="0"/>
                <xsd:element ref="ns2:MediaServiceAutoTags" minOccurs="0"/>
                <xsd:element ref="ns2:MediaServiceOCR"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2fbd05-f8f5-4422-91ec-e002467aa99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Location" ma:index="13" nillable="true" ma:displayName="MediaServiceLocation" ma:description="" ma:internalName="MediaServiceLocatio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165014c-2966-4902-b7b2-eb773d95cc9a"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A08FC7-5B53-4CBE-A988-4004C7DC6907}"/>
</file>

<file path=customXml/itemProps2.xml><?xml version="1.0" encoding="utf-8"?>
<ds:datastoreItem xmlns:ds="http://schemas.openxmlformats.org/officeDocument/2006/customXml" ds:itemID="{47AF166D-FD3A-4BAA-9917-609FC36940F5}"/>
</file>

<file path=customXml/itemProps3.xml><?xml version="1.0" encoding="utf-8"?>
<ds:datastoreItem xmlns:ds="http://schemas.openxmlformats.org/officeDocument/2006/customXml" ds:itemID="{114EE7CF-C158-47FD-8AA4-2C325A49C53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Erika Davis</cp:lastModifiedBy>
  <cp:revision/>
  <dcterms:created xsi:type="dcterms:W3CDTF">2010-04-07T23:01:02Z</dcterms:created>
  <dcterms:modified xsi:type="dcterms:W3CDTF">2021-06-17T18:56:18Z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0x01010017B238F4211D4140B2AEA8219FA647E2</vt:lpwstr>
  </property>
  <property fmtid="{D5CDD505-2E9C-101B-9397-08002B2CF9AE}" pid="3" name="AuthorIds_UIVersion_7680">
    <vt:lpwstr>19</vt:lpwstr>
  </property>
  <property fmtid="{D5CDD505-2E9C-101B-9397-08002B2CF9AE}" pid="4" name="AuthorIds_UIVersion_64000">
    <vt:lpwstr>11</vt:lpwstr>
  </property>
</Properties>
</file>